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D:\Prayas\21. Calculators\final\"/>
    </mc:Choice>
  </mc:AlternateContent>
  <xr:revisionPtr revIDLastSave="0" documentId="13_ncr:1_{E5D4D73A-F202-493B-B639-BF181A50DD2A}" xr6:coauthVersionLast="40" xr6:coauthVersionMax="40" xr10:uidLastSave="{00000000-0000-0000-0000-000000000000}"/>
  <bookViews>
    <workbookView xWindow="-110" yWindow="-110" windowWidth="19420" windowHeight="10420" tabRatio="905" xr2:uid="{00000000-000D-0000-FFFF-FFFF00000000}"/>
  </bookViews>
  <sheets>
    <sheet name="About Calculators" sheetId="25" r:id="rId1"/>
    <sheet name="Index" sheetId="13" r:id="rId2"/>
    <sheet name="C1-Capacity-Net Generation" sheetId="10" r:id="rId3"/>
    <sheet name="C2-Fixed Cost" sheetId="11" r:id="rId4"/>
    <sheet name="C3-Variable Cost" sheetId="12" r:id="rId5"/>
    <sheet name="C4-RPO" sheetId="27" r:id="rId6"/>
    <sheet name="C5-ARR change" sheetId="24" r:id="rId7"/>
    <sheet name="C6-T&amp;D and PP" sheetId="28" r:id="rId8"/>
    <sheet name="C7-Flat Rate Consumption" sheetId="31" r:id="rId9"/>
    <sheet name="C8-Additional CAPEX" sheetId="30" r:id="rId10"/>
    <sheet name="C9-Delay of payments to DISCOM" sheetId="4" r:id="rId11"/>
    <sheet name="C10-Cross-Subsidy &amp; Revenue Gap" sheetId="29" r:id="rId12"/>
    <sheet name="Consumption Calculator Links" sheetId="18" r:id="rId13"/>
  </sheets>
  <calcPr calcId="181029"/>
</workbook>
</file>

<file path=xl/calcChain.xml><?xml version="1.0" encoding="utf-8"?>
<calcChain xmlns="http://schemas.openxmlformats.org/spreadsheetml/2006/main">
  <c r="D8" i="31" l="1"/>
  <c r="D10" i="31"/>
  <c r="D19" i="31"/>
  <c r="R11" i="30" l="1"/>
  <c r="F17" i="24" l="1"/>
  <c r="E17" i="24"/>
  <c r="C51" i="30" l="1"/>
  <c r="C59" i="30" l="1"/>
  <c r="C58" i="30"/>
  <c r="C57" i="30"/>
  <c r="C56" i="30"/>
  <c r="C55" i="30"/>
  <c r="C54" i="30"/>
  <c r="C53" i="30"/>
  <c r="C52" i="30"/>
  <c r="C50" i="30"/>
  <c r="C49" i="30"/>
  <c r="C48" i="30"/>
  <c r="C47" i="30"/>
  <c r="C46" i="30"/>
  <c r="C45" i="30"/>
  <c r="C44" i="30"/>
  <c r="C43" i="30"/>
  <c r="C42" i="30"/>
  <c r="C41" i="30"/>
  <c r="C40" i="30"/>
  <c r="F40" i="30" s="1"/>
  <c r="D16" i="30" s="1"/>
  <c r="E35" i="30"/>
  <c r="C35" i="30"/>
  <c r="E34" i="30"/>
  <c r="C34" i="30"/>
  <c r="E33" i="30"/>
  <c r="C33" i="30"/>
  <c r="E32" i="30"/>
  <c r="C32" i="30"/>
  <c r="E31" i="30"/>
  <c r="C31" i="30"/>
  <c r="E30" i="30"/>
  <c r="C30" i="30"/>
  <c r="E29" i="30"/>
  <c r="C29" i="30"/>
  <c r="E28" i="30"/>
  <c r="C28" i="30"/>
  <c r="E27" i="30"/>
  <c r="C27" i="30"/>
  <c r="E26" i="30"/>
  <c r="C26" i="30"/>
  <c r="E25" i="30"/>
  <c r="C25" i="30"/>
  <c r="E24" i="30"/>
  <c r="C24" i="30"/>
  <c r="E23" i="30"/>
  <c r="C23" i="30"/>
  <c r="E22" i="30"/>
  <c r="C22" i="30"/>
  <c r="E21" i="30"/>
  <c r="C21" i="30"/>
  <c r="E20" i="30"/>
  <c r="C20" i="30"/>
  <c r="E19" i="30"/>
  <c r="C19" i="30"/>
  <c r="E18" i="30"/>
  <c r="C18" i="30"/>
  <c r="E17" i="30"/>
  <c r="C17" i="30"/>
  <c r="E16" i="30"/>
  <c r="C16" i="30"/>
  <c r="D40" i="30" l="1"/>
  <c r="E41" i="30" s="1"/>
  <c r="F41" i="30" l="1"/>
  <c r="D41" i="30"/>
  <c r="F16" i="30" l="1"/>
  <c r="D17" i="30"/>
  <c r="E42" i="30"/>
  <c r="F42" i="30" s="1"/>
  <c r="D42" i="30"/>
  <c r="F17" i="30" l="1"/>
  <c r="D18" i="30"/>
  <c r="E43" i="30"/>
  <c r="F43" i="30" s="1"/>
  <c r="D43" i="30"/>
  <c r="D44" i="30" s="1"/>
  <c r="F18" i="30" l="1"/>
  <c r="D19" i="30"/>
  <c r="E45" i="30"/>
  <c r="F45" i="30" s="1"/>
  <c r="E44" i="30"/>
  <c r="F44" i="30" s="1"/>
  <c r="D45" i="30"/>
  <c r="F19" i="30" l="1"/>
  <c r="D20" i="30"/>
  <c r="F20" i="30" s="1"/>
  <c r="D21" i="30"/>
  <c r="E46" i="30"/>
  <c r="F46" i="30" s="1"/>
  <c r="D46" i="30"/>
  <c r="F21" i="30" l="1"/>
  <c r="D22" i="30"/>
  <c r="E47" i="30"/>
  <c r="F47" i="30" s="1"/>
  <c r="D47" i="30"/>
  <c r="F22" i="30" l="1"/>
  <c r="D23" i="30"/>
  <c r="E48" i="30"/>
  <c r="F48" i="30" s="1"/>
  <c r="D48" i="30"/>
  <c r="F23" i="30" l="1"/>
  <c r="D24" i="30"/>
  <c r="E49" i="30"/>
  <c r="F49" i="30" s="1"/>
  <c r="D49" i="30"/>
  <c r="F24" i="30" l="1"/>
  <c r="D25" i="30"/>
  <c r="E50" i="30"/>
  <c r="F50" i="30" s="1"/>
  <c r="D50" i="30"/>
  <c r="F25" i="30" l="1"/>
  <c r="D26" i="30"/>
  <c r="E51" i="30"/>
  <c r="F51" i="30" s="1"/>
  <c r="D51" i="30"/>
  <c r="F26" i="30" l="1"/>
  <c r="D27" i="30"/>
  <c r="E52" i="30"/>
  <c r="F52" i="30" s="1"/>
  <c r="D52" i="30"/>
  <c r="F27" i="30" l="1"/>
  <c r="D28" i="30"/>
  <c r="E53" i="30"/>
  <c r="F53" i="30" s="1"/>
  <c r="D53" i="30"/>
  <c r="F28" i="30" l="1"/>
  <c r="D29" i="30"/>
  <c r="F29" i="30" s="1"/>
  <c r="E54" i="30"/>
  <c r="F54" i="30" s="1"/>
  <c r="D30" i="30" s="1"/>
  <c r="D54" i="30"/>
  <c r="E55" i="30" l="1"/>
  <c r="F55" i="30" s="1"/>
  <c r="D31" i="30" s="1"/>
  <c r="D55" i="30"/>
  <c r="F30" i="30"/>
  <c r="E56" i="30" l="1"/>
  <c r="F56" i="30" s="1"/>
  <c r="D56" i="30"/>
  <c r="F31" i="30" l="1"/>
  <c r="D32" i="30"/>
  <c r="E57" i="30"/>
  <c r="F57" i="30" s="1"/>
  <c r="D57" i="30"/>
  <c r="F32" i="30" l="1"/>
  <c r="D33" i="30"/>
  <c r="F33" i="30" s="1"/>
  <c r="E58" i="30"/>
  <c r="F58" i="30" s="1"/>
  <c r="D34" i="30" s="1"/>
  <c r="D58" i="30"/>
  <c r="E59" i="30" l="1"/>
  <c r="F59" i="30" s="1"/>
  <c r="D35" i="30" s="1"/>
  <c r="F34" i="30"/>
  <c r="D59" i="30"/>
  <c r="F35" i="30" l="1"/>
  <c r="E27" i="24" l="1"/>
  <c r="F25" i="24"/>
  <c r="E25" i="24"/>
  <c r="G9" i="24"/>
  <c r="G22" i="24"/>
  <c r="E24" i="12"/>
  <c r="G25" i="24" l="1"/>
  <c r="E13" i="11"/>
  <c r="E10" i="11"/>
  <c r="C13" i="29" l="1"/>
  <c r="C7" i="29"/>
  <c r="E10" i="28"/>
  <c r="D9" i="28"/>
  <c r="D11" i="28" s="1"/>
  <c r="E6" i="28"/>
  <c r="E9" i="28" s="1"/>
  <c r="E11" i="28" s="1"/>
  <c r="D10" i="27"/>
  <c r="D20" i="27" s="1"/>
  <c r="D9" i="27"/>
  <c r="D17" i="27" s="1"/>
  <c r="C17" i="29" l="1"/>
  <c r="C20" i="29" s="1"/>
  <c r="H15" i="29" s="1"/>
  <c r="D12" i="28"/>
  <c r="D21" i="27"/>
  <c r="D22" i="27"/>
  <c r="D19" i="27"/>
  <c r="E8" i="29" l="1"/>
  <c r="F8" i="29" s="1"/>
  <c r="H6" i="29"/>
  <c r="H11" i="29"/>
  <c r="H14" i="29"/>
  <c r="E16" i="29"/>
  <c r="F16" i="29" s="1"/>
  <c r="H12" i="29"/>
  <c r="H13" i="29"/>
  <c r="E9" i="29"/>
  <c r="G9" i="29" s="1"/>
  <c r="H8" i="29"/>
  <c r="E11" i="29"/>
  <c r="F11" i="29" s="1"/>
  <c r="H9" i="29"/>
  <c r="E15" i="29"/>
  <c r="G15" i="29" s="1"/>
  <c r="E12" i="29"/>
  <c r="F12" i="29" s="1"/>
  <c r="E10" i="29"/>
  <c r="F10" i="29" s="1"/>
  <c r="H10" i="29"/>
  <c r="H16" i="29"/>
  <c r="E14" i="29"/>
  <c r="F14" i="29" s="1"/>
  <c r="H7" i="29"/>
  <c r="G11" i="29"/>
  <c r="F15" i="29"/>
  <c r="G10" i="29" l="1"/>
  <c r="G16" i="29"/>
  <c r="F9" i="29"/>
  <c r="G12" i="29"/>
  <c r="G14" i="29"/>
  <c r="G8" i="29"/>
  <c r="F7" i="29"/>
  <c r="F13" i="29"/>
  <c r="F17" i="29" l="1"/>
  <c r="C21" i="29" s="1"/>
  <c r="G20" i="24"/>
  <c r="G21" i="24"/>
  <c r="G19" i="24"/>
  <c r="G15" i="24"/>
  <c r="G13" i="24"/>
  <c r="G11" i="24"/>
  <c r="G7" i="24"/>
  <c r="C22" i="29" l="1"/>
  <c r="F24" i="24"/>
  <c r="E24" i="24"/>
  <c r="E17" i="12"/>
  <c r="E18" i="12" s="1"/>
  <c r="E25" i="12" s="1"/>
  <c r="G24" i="24" l="1"/>
  <c r="E10" i="10"/>
  <c r="E13" i="10" s="1"/>
  <c r="E9" i="10"/>
  <c r="E12" i="10" s="1"/>
  <c r="E14" i="11" l="1"/>
  <c r="C9" i="4"/>
  <c r="C10" i="4" s="1"/>
  <c r="C11" i="4" s="1"/>
  <c r="F27" i="24" l="1"/>
  <c r="G27" i="24" s="1"/>
  <c r="E11" i="12" l="1"/>
  <c r="E13" i="12" s="1"/>
  <c r="E19" i="12" s="1"/>
  <c r="E21" i="12" l="1"/>
  <c r="E14" i="24" l="1"/>
  <c r="E26" i="24"/>
  <c r="E10" i="24"/>
  <c r="E12" i="24"/>
  <c r="E16" i="24"/>
  <c r="E28" i="24"/>
  <c r="E8" i="24"/>
  <c r="F14" i="24"/>
  <c r="G17" i="24"/>
  <c r="F12" i="24"/>
  <c r="F10" i="24"/>
  <c r="F16" i="24"/>
  <c r="F28" i="24"/>
  <c r="F8" i="24"/>
  <c r="F26" i="24"/>
  <c r="G26" i="24"/>
  <c r="G28" i="24" l="1"/>
</calcChain>
</file>

<file path=xl/sharedStrings.xml><?xml version="1.0" encoding="utf-8"?>
<sst xmlns="http://schemas.openxmlformats.org/spreadsheetml/2006/main" count="491" uniqueCount="348">
  <si>
    <t>Impact of Additional CAPEX on ARR</t>
  </si>
  <si>
    <t>Amount of CAPEX (Rs. crore)</t>
  </si>
  <si>
    <t>Enter value of capital expenditure in Rs. crore</t>
  </si>
  <si>
    <t>Cost of delaying payments to DISCOMs</t>
  </si>
  <si>
    <t>Rate of depreciation</t>
  </si>
  <si>
    <t>Year</t>
  </si>
  <si>
    <t>Interest on Loan</t>
  </si>
  <si>
    <t>Depreciation</t>
  </si>
  <si>
    <t>Rate of interest on delayed payments (%)</t>
  </si>
  <si>
    <t>Enter the interest rate on delayed amounts</t>
  </si>
  <si>
    <t>A</t>
  </si>
  <si>
    <t>B</t>
  </si>
  <si>
    <t>Please enter values in green cells</t>
  </si>
  <si>
    <t>Particulars</t>
  </si>
  <si>
    <t>Values</t>
  </si>
  <si>
    <t>Notes</t>
  </si>
  <si>
    <t>Enter rate of interest on loan (debt) (in %)</t>
  </si>
  <si>
    <t>Formula</t>
  </si>
  <si>
    <t>Unit</t>
  </si>
  <si>
    <t>Value</t>
  </si>
  <si>
    <t>Capacity</t>
  </si>
  <si>
    <t>MW</t>
  </si>
  <si>
    <t>Please enter the capacity (in MW) for your generation station.</t>
  </si>
  <si>
    <t>Auxiliary consumption</t>
  </si>
  <si>
    <t>%</t>
  </si>
  <si>
    <t>Availability</t>
  </si>
  <si>
    <t>D</t>
  </si>
  <si>
    <t>Please enter a value (in %). Availability is the percentage of time the generation station is ready to generate electricity in a year.</t>
  </si>
  <si>
    <t>PLF</t>
  </si>
  <si>
    <t>Please enter a value (in %). Plant Load Factor is the percentage of time that the generation station actually generates electricity in a year. It is possible that the PLF&lt;Availability if there is lesser demand for electricity.</t>
  </si>
  <si>
    <t>MU</t>
  </si>
  <si>
    <t>Actual (Net) Generation</t>
  </si>
  <si>
    <t xml:space="preserve">This is the electricity (in MU) from the station actually generated (and sold). This is the quantum of electricity input into the grid by the station and does not include any transmission or distribution losses. </t>
  </si>
  <si>
    <t>Fixed cost payments to coal-based generation stations</t>
  </si>
  <si>
    <t xml:space="preserve">Please enter a value (in %). Availability is the percentage of time the generation station is ready to generate electricity in a year. Normative availability are specified by individual electricity regulatory commissions in their regulations. </t>
  </si>
  <si>
    <t>Actual availability</t>
  </si>
  <si>
    <t>C</t>
  </si>
  <si>
    <t>Fixed cost (per year)</t>
  </si>
  <si>
    <t>Rs. Cr</t>
  </si>
  <si>
    <t>Availability adjusted fixed cost</t>
  </si>
  <si>
    <t>E=D*C/B</t>
  </si>
  <si>
    <t>F</t>
  </si>
  <si>
    <t>G</t>
  </si>
  <si>
    <t>Please enter a value (in %). Plant Load Factor is the percentage of time that the generation station actually generates electricity in a year.</t>
  </si>
  <si>
    <t>H= A*G*8.76*(1-F)</t>
  </si>
  <si>
    <t>Per unit fixed cost</t>
  </si>
  <si>
    <t>I=E*10/H</t>
  </si>
  <si>
    <t>Rs/kWh</t>
  </si>
  <si>
    <t xml:space="preserve">This figure gives the fixed cost per unit of electricity generated by the station. </t>
  </si>
  <si>
    <t>Fuel consumption and variable cost of coal-based generation stations</t>
  </si>
  <si>
    <t>Step 1: Cost of Coal</t>
  </si>
  <si>
    <t>Base price of coal</t>
  </si>
  <si>
    <t>GST compensation cess</t>
  </si>
  <si>
    <t>Duties, royalties, cess etc.</t>
  </si>
  <si>
    <t>Total cost of coal</t>
  </si>
  <si>
    <t>This is the cost of the coal at the generation station ('landed cost of coal').</t>
  </si>
  <si>
    <t>Step 2: Variable Cost</t>
  </si>
  <si>
    <t xml:space="preserve">Gross Station Heat Rate (SHR) </t>
  </si>
  <si>
    <t>kCal/kWh</t>
  </si>
  <si>
    <t>Average GCV for coal</t>
  </si>
  <si>
    <t>kCal/kg</t>
  </si>
  <si>
    <t>Please enter the calorific value of your coal. The Gross Calorific Value (GCV) of a fuel is the amount of heat released when 1 kg of it is burned.</t>
  </si>
  <si>
    <t xml:space="preserve">Net Station Heat Rate (SHR) </t>
  </si>
  <si>
    <t>This is SHR after accounting for auxiliary consumption. Please note that auxiliary consumption causes the SHR to increase. If you only have the Net SHR, then enter it directly here.</t>
  </si>
  <si>
    <t>kg/kWh</t>
  </si>
  <si>
    <t>Per unit variable cost</t>
  </si>
  <si>
    <t>Coal consumption</t>
  </si>
  <si>
    <t>Calculating agricultural sales</t>
  </si>
  <si>
    <t>Parameter</t>
  </si>
  <si>
    <t>No.</t>
  </si>
  <si>
    <t>HP</t>
  </si>
  <si>
    <t>Average load per consumer</t>
  </si>
  <si>
    <t>Normative benchmark consumption</t>
  </si>
  <si>
    <t>Unmetered agricultural sales</t>
  </si>
  <si>
    <t>Calculating average agricultural consumption</t>
  </si>
  <si>
    <t xml:space="preserve">Average consumption </t>
  </si>
  <si>
    <t>Calculator Name</t>
  </si>
  <si>
    <t>Sales</t>
  </si>
  <si>
    <t>https://wss.mahadiscom.in/wss/wss?uiActionName=getApplianceParticulars</t>
  </si>
  <si>
    <t>http://www.mpez.co.in/portal/Jabalpur_home.portal?_nfpb=true&amp;_pageLabel=custCentre_consCalc_jbl</t>
  </si>
  <si>
    <t>https://www.apspdcl.in/SPDCL_Home.portal?_nfpb=true&amp;_pageLabel=Login_portal_page_99</t>
  </si>
  <si>
    <t>Assam</t>
  </si>
  <si>
    <t>https://apdcl.power.uneecopscloud.com/information-services/energy-calculator</t>
  </si>
  <si>
    <t>https://www.bijlibachao.com/electricity-bill/online-electricity-bill-calculator-for-all-states-in-india.html</t>
  </si>
  <si>
    <t>Gujarat</t>
  </si>
  <si>
    <t>http://www.pgvcl.com/consumer/CONSUMER/calculate_n.php</t>
  </si>
  <si>
    <t>Karnataka</t>
  </si>
  <si>
    <t>http://www.cescmysore.org/en/consumption-calculator</t>
  </si>
  <si>
    <t>http://www.uppclonline.com/dispatch/Portal/appmanager/uppcl/wss?_nfpb=true&amp;_pageLabel=uppcl_consumption_consumptionCalculator&amp;pageID=1011</t>
  </si>
  <si>
    <t>https://www.wbsedcl.in/irj/go/km/docs/internet/new_website/energyCostEstimator.html</t>
  </si>
  <si>
    <t xml:space="preserve">Total </t>
  </si>
  <si>
    <t>HT-III: Others</t>
  </si>
  <si>
    <t>HT-II: Commercial</t>
  </si>
  <si>
    <t>HT-I: Industrial</t>
  </si>
  <si>
    <t>High Tension</t>
  </si>
  <si>
    <t>LT-V: Others</t>
  </si>
  <si>
    <t>LT-IV: Agricultural</t>
  </si>
  <si>
    <t>LT-III: Industrial</t>
  </si>
  <si>
    <t>LT-II: Commercial</t>
  </si>
  <si>
    <t>LT-I: Domestic</t>
  </si>
  <si>
    <t>Low Tension</t>
  </si>
  <si>
    <t>(Rs/Kwh)</t>
  </si>
  <si>
    <t>(MU)</t>
  </si>
  <si>
    <t xml:space="preserve"> (Rs. Cr)</t>
  </si>
  <si>
    <t>Units</t>
  </si>
  <si>
    <t>Consumer Category</t>
  </si>
  <si>
    <t>Average Billing Rate (ABR)</t>
  </si>
  <si>
    <t xml:space="preserve">(Generally includes working capital requirement, income tax, etc.) </t>
  </si>
  <si>
    <t>Other expenses</t>
  </si>
  <si>
    <t>(Generally includes interest on long term loans, return on equity, depreciation)</t>
  </si>
  <si>
    <t>Existing Expenses</t>
  </si>
  <si>
    <t>Components of ARR</t>
  </si>
  <si>
    <t>ACoS</t>
  </si>
  <si>
    <t>Additional CAPEX</t>
  </si>
  <si>
    <t>Capacity- Net Generation</t>
  </si>
  <si>
    <t xml:space="preserve">Fixed Cost </t>
  </si>
  <si>
    <t>Variable Cost</t>
  </si>
  <si>
    <t>Flat Rate Consumption</t>
  </si>
  <si>
    <t>Consumption Calculator Links</t>
  </si>
  <si>
    <t>Proposed Expenses</t>
  </si>
  <si>
    <t>Existing</t>
  </si>
  <si>
    <t>Proposed</t>
  </si>
  <si>
    <t>ARR Change</t>
  </si>
  <si>
    <t>Often we see capacity of generation stations given in units of power (Megawatt or MW). It is useful to know how to convert this into units of electricity since much of billing and payments is based on electricity consumption in units. This calculator can be used for generation stations (of any technology/fuel) to answer questions such as: 
-How much electricity (in million units or MU) is generated by a generation station (in MW) in one year? 
-How much electricity can the station generate and how much does it actually generate in a year?</t>
  </si>
  <si>
    <t>Please enter a value (in %). Auxiliary consumption is the % of electricity used up in the generation process in the generation station, for example in running auxiliary machinery like pumps etc.</t>
  </si>
  <si>
    <t>Actual (Gross) Generation</t>
  </si>
  <si>
    <t>D=A*B*8.76</t>
  </si>
  <si>
    <t>E=A*C*8.76</t>
  </si>
  <si>
    <t>G=D*(1-F)</t>
  </si>
  <si>
    <t>H=E*(1-F)</t>
  </si>
  <si>
    <t xml:space="preserve">This is the gross electricity (in MU) from the station actually generated. </t>
  </si>
  <si>
    <t>This is the net electricity (in MU) available from the station for sale after accounting for auxiliary consumption.</t>
  </si>
  <si>
    <t xml:space="preserve">This is the net electricity (in MU) from the station actually generated (and sold) after accounting for auxiliary consumption. This is the quantum of electricity input into the grid by the station and does not include any transmission or distribution losses. </t>
  </si>
  <si>
    <t>Generation tariffs in India consist of two parts: a fixed cost and a variable cost. The fixed cost is all the costs of the plant except the fuel costs. Fixed cost includes depreciation, interest on loans, return on equity, operation and maintenance expenses, etc. The nature of cost-plus contracts in India is such that the fixed cost of the contracted plant has to be paid even if the plant is not dispatched to generate electricity. However, the recovery of the fixed cost of coal based generation is linked to its availability. If the plant meets the norm for availability then it can recover the full fixed cost. If the norm is not met, the fixed cost recoverable through tariff is proportionally reduced.</t>
  </si>
  <si>
    <t xml:space="preserve">This is the fixed cost (in Rs. crore) recoverable from tariff. For actual availability less than normative availability, recoverable fixed costs would get reduced proportionately. For actual availability greater than normative availability there is no incentive and the entire fixed cost is recovered. </t>
  </si>
  <si>
    <t>Transport cost</t>
  </si>
  <si>
    <t>The Station Heat Rate is the amount of heat needed by the generation station to produce 1 unit of electricity.</t>
  </si>
  <si>
    <t>This is the variable cost (in Rs/kWh) of producing 1 unit of electricity given your coal cost, coal quality (GCV) and plant's technology and efficiency (SHR).</t>
  </si>
  <si>
    <t>Step 3: Total coal consumption for a specific plant</t>
  </si>
  <si>
    <t>By default, the tool uses the value from the above step (E18). Please enter the specific coal consumption (in kg/kWh) if above mentioned data is not available.</t>
  </si>
  <si>
    <t xml:space="preserve">This is the net electricity (in MU) from the station actually generated (and sold). This is the quantum of electricity input into the grid by the station and does not include any transmission or distribution losses. </t>
  </si>
  <si>
    <t>kWh/HP/year</t>
  </si>
  <si>
    <t>MU/year</t>
  </si>
  <si>
    <t>Estimated agricultural sales by DISCOM/ ERC</t>
  </si>
  <si>
    <t>Rs crore</t>
  </si>
  <si>
    <t>Number of agricultural consumers</t>
  </si>
  <si>
    <t>Total agricultural  connected load</t>
  </si>
  <si>
    <t>Information on number of agricultural consumers is generally found in the chapter on sales estimation or in annexures of tariff petitions or regulatory orders, or in tariff formats filed by the DISCOM</t>
  </si>
  <si>
    <t>Information on connected load of agricultural consumers is generally found in the chapter on sales estimation or in annexures of tariff petitions or regulatory orders, or in tariff formats filed by the DISCOM</t>
  </si>
  <si>
    <t>Information on agricultural sales is generally found in the chapter on sales estimation or in annexures of tariff petitions or regulatory orders, or in tariff formats filed by the DISCOM</t>
  </si>
  <si>
    <t>Information on number of agricultural consumers is generally found in the chapter on sales estimation or in annexures of tariff petitions or regulatory orders, or in tariff formats filed by the DISCOM.</t>
  </si>
  <si>
    <t>Information on connected load of agricultural consumers is generally found in the chapter on sales estimation or in annexures of tariff petitions or regulatory orders, or in tariff formats filed by the DISCOM.</t>
  </si>
  <si>
    <t>Comparing components and key parameters in ARRs</t>
  </si>
  <si>
    <t>% Change</t>
  </si>
  <si>
    <t>% of ARR</t>
  </si>
  <si>
    <t>Rs./kWh</t>
  </si>
  <si>
    <t>Step 2: Fill in the following values to obtain important parameters related to the ARR</t>
  </si>
  <si>
    <t>Step 1: Enter existing values of components of ARR to see their % share in total costs. Filling values for proposed expenses will show % change in expenses as well.</t>
  </si>
  <si>
    <t>Madhya Pradesh</t>
  </si>
  <si>
    <t>Maharashtra</t>
  </si>
  <si>
    <t>Andhra Pradesh</t>
  </si>
  <si>
    <t>Uttar Pradesh</t>
  </si>
  <si>
    <t>West Bengal</t>
  </si>
  <si>
    <t xml:space="preserve">Delhi </t>
  </si>
  <si>
    <t>All States</t>
  </si>
  <si>
    <t>Revenue Gap
 (as a % of ARR)</t>
  </si>
  <si>
    <t>February, 2019</t>
  </si>
  <si>
    <t>Version 1.0</t>
  </si>
  <si>
    <t>Solar RPO</t>
  </si>
  <si>
    <t>Non-Solar RPO</t>
  </si>
  <si>
    <t xml:space="preserve">MU </t>
  </si>
  <si>
    <t>Wind</t>
  </si>
  <si>
    <t>Solar</t>
  </si>
  <si>
    <t>Biomass</t>
  </si>
  <si>
    <t>Small Hydro</t>
  </si>
  <si>
    <t>either Wind</t>
  </si>
  <si>
    <t>Bagasse</t>
  </si>
  <si>
    <t>or Biomass</t>
  </si>
  <si>
    <t>or Small Hydro</t>
  </si>
  <si>
    <t>or Bagasse</t>
  </si>
  <si>
    <t>Case A</t>
  </si>
  <si>
    <t>Case B</t>
  </si>
  <si>
    <t>Delay in Payments</t>
  </si>
  <si>
    <t>Brief Description</t>
  </si>
  <si>
    <t>Sl No.</t>
  </si>
  <si>
    <t>What happens when the distribution company decides to spend money on its substations, machinery, cables and lines, etc.? How does it impact the revenue the company recovers from consumers (the ARR)?
A distribution company invests in distribution assets (substations, cables, etc.) from time to time. This capital expenditure or CAPEX is usually funded through a combination of loan (debt) and equity (money put in by the company itself). The CAPEX is not recovered from the consumers in one single year, but is instead spread out and recovered through three different charges (interest on loan, depreciation and return on equity). This calculator lets you see how CAPEX in a single year impacts the revenue to be recovered from consumers (the ARR) for the next 20 years.</t>
  </si>
  <si>
    <t>This calculator helps in understanding how much power purchase quantum is required, given a certain demand and accounting for Transmission and Distribution losses (column D).
It also helps in understanding how Power Purchase quantum and cost can be reduced by reducing Transmission and Distribution Losses (as demonstrated in case B) (column E).</t>
  </si>
  <si>
    <t>How is unmetered sales estimation done when the following information is available in a tariff order/petition:
Number of consumers, connected load, and normative benchmark consumption</t>
  </si>
  <si>
    <t>Non-Solar capacity needed assuming all of it coming from:</t>
  </si>
  <si>
    <t>Capacity Utilisation Factor is the ratio of how much generation takes place in a year to the maximum energy generation possible, given the technology.</t>
  </si>
  <si>
    <t>Solar capacity needed assuming normative CUF</t>
  </si>
  <si>
    <t>Renewable Purchase Obligations (RPOs) are minimum renewable energy targets which are specified in % terms in proportion to total electricity consumption (MU) of obligated entities, which are DISCOMs, Open Access consumers, and Captive consumers. 
This calculator calculates the solar and non-solar generation required, given the annual consumption of the entity and the solar/non-solar RPO shares. The calculator also calculates the solar and non-solar capacity (MW) that is required to be installed given the normative capacity utilisation factors (the ratio of how much generation typically takes place in a year to the maximum energy generation possible, given the technology).</t>
  </si>
  <si>
    <t>This is decided by the  SERC based on issuance of periodic regulations.</t>
  </si>
  <si>
    <t>Solar generation required to meet RPO</t>
  </si>
  <si>
    <t>Non-solar generation required to meet RPO</t>
  </si>
  <si>
    <t>Tab Name</t>
  </si>
  <si>
    <t>RPO</t>
  </si>
  <si>
    <t>T&amp;D and PP</t>
  </si>
  <si>
    <t>Cross-Subsidy &amp; Revenue Gap</t>
  </si>
  <si>
    <t>Generation (MU) &amp; Capacity (MW) requirement for solar and non-solar RPO</t>
  </si>
  <si>
    <t>Calculating Power purchase requirement based on T&amp;D losses</t>
  </si>
  <si>
    <t>Calculating agricultural sales; Calculating average agricultural consumption</t>
  </si>
  <si>
    <t>Revenue Gap adjustment through change in cross-subsidy design</t>
  </si>
  <si>
    <t>This calculates the per unit fixed cost of procuring power</t>
  </si>
  <si>
    <t>This calculates the Renewable Purchase Obligations- Solar and Non-Solar in terms of  energy and capacity</t>
  </si>
  <si>
    <t>This looks at the various components of ARR and helps compare key statistics between existing and proposed ARRs</t>
  </si>
  <si>
    <t>This helps in comparing change in power purchase quantum and cost, with changes in Transmission and Distribution losses</t>
  </si>
  <si>
    <t>This helps to arrive at agricultural sales quantum or assessing the consumption norms with information typically found in tariff orders</t>
  </si>
  <si>
    <t xml:space="preserve">This shows the impact of additional capital expenditure on the ARR </t>
  </si>
  <si>
    <t>This shows how the ARR is affected if payments are not made in time to the DISCOMs- how short term borrowings add to the ARR</t>
  </si>
  <si>
    <t>This helps the user change cross-subsidy designs of various consumer categories to assess the revenue gap for a year</t>
  </si>
  <si>
    <t>Available (Gross) Generation</t>
  </si>
  <si>
    <t>Available (Net) Generation</t>
  </si>
  <si>
    <t>Please enter the fixed cost (in Rs. crore) for the station for a particular year. Regulatory commissions typically specify fixed costs in Rs. / MW / yr. as part of their tariff orders or regulations.</t>
  </si>
  <si>
    <t>Specific coal consumption (net generation basis)</t>
  </si>
  <si>
    <t>Annual electricity requirement / input for the entity</t>
  </si>
  <si>
    <t>Rs. Cr.</t>
  </si>
  <si>
    <t>Average Power Purchase Cost (APPC) (without transmission cost)</t>
  </si>
  <si>
    <t>Payment period (years)</t>
  </si>
  <si>
    <t>Tariff as % of Average Cost of Supply</t>
  </si>
  <si>
    <t>H</t>
  </si>
  <si>
    <t>I</t>
  </si>
  <si>
    <t>M</t>
  </si>
  <si>
    <t>N</t>
  </si>
  <si>
    <t>O</t>
  </si>
  <si>
    <t>J= G*(1+H)</t>
  </si>
  <si>
    <t>P= N*O*8.76*(1-H)</t>
  </si>
  <si>
    <t>E= A+B+C+D</t>
  </si>
  <si>
    <t>K= J/I</t>
  </si>
  <si>
    <t>L= K*F/1000</t>
  </si>
  <si>
    <t>Q= K*P/10^3</t>
  </si>
  <si>
    <t>Non-Tariff income</t>
  </si>
  <si>
    <t>(These are charges paid to PGCIL and state transmission utilities for transmission of electricity from generating stations to DISCOMs' networks)</t>
  </si>
  <si>
    <t>Cross Subsidy Received</t>
  </si>
  <si>
    <t>Delayed payments (Rs. Cr)</t>
  </si>
  <si>
    <t>Revenue from Sale of Power</t>
  </si>
  <si>
    <t>Normative availability</t>
  </si>
  <si>
    <t>Net generation</t>
  </si>
  <si>
    <t>Cost of coal</t>
  </si>
  <si>
    <t>Normative Capacity Utilisation Factor (CUF)</t>
  </si>
  <si>
    <t>Total power purchase cost</t>
  </si>
  <si>
    <t>Operation and Maintenance (O&amp;M) expenses</t>
  </si>
  <si>
    <t>Capital expenditure related expenses</t>
  </si>
  <si>
    <t>Aggregate Revenue Requirement (ARR)</t>
  </si>
  <si>
    <t xml:space="preserve">Total sales </t>
  </si>
  <si>
    <t>Power purchase quantum</t>
  </si>
  <si>
    <t>Difference in power purchase cost due to change in losses</t>
  </si>
  <si>
    <t>Distribution losses</t>
  </si>
  <si>
    <t>Transmission losses</t>
  </si>
  <si>
    <t>Power purchase requirement</t>
  </si>
  <si>
    <t>Depreciation limited to</t>
  </si>
  <si>
    <t>Enter the maximum allowed cumulative depreciation as a percentage of CAPEX (in %)</t>
  </si>
  <si>
    <t>Return on Equity</t>
  </si>
  <si>
    <t xml:space="preserve">Impact on ARR </t>
  </si>
  <si>
    <t>C1</t>
  </si>
  <si>
    <t>C2</t>
  </si>
  <si>
    <t>C3</t>
  </si>
  <si>
    <t>C4</t>
  </si>
  <si>
    <t>C5</t>
  </si>
  <si>
    <t>C6</t>
  </si>
  <si>
    <t>C7</t>
  </si>
  <si>
    <t>C8</t>
  </si>
  <si>
    <t>C9</t>
  </si>
  <si>
    <t>C10</t>
  </si>
  <si>
    <t>ARR (Rs. Cr.)</t>
  </si>
  <si>
    <t>https://tatapower-ddl.com/ecs/forms/loginportal.aspx</t>
  </si>
  <si>
    <t>Tamil Nadu</t>
  </si>
  <si>
    <t>https://www.tnebnet.org/awp/tariffMaster;jsessionid=8Qyc+2QaiytZ-veQ87IWn+mP?execution=e1s1</t>
  </si>
  <si>
    <t>Percentage of debt</t>
  </si>
  <si>
    <t>Rate of interest on loans</t>
  </si>
  <si>
    <t>Tenure of loans (in years)</t>
  </si>
  <si>
    <t>Rate of return on equity</t>
  </si>
  <si>
    <t>Enter the rate of return on equity (in %)</t>
  </si>
  <si>
    <t>Enter the rate of depreciation (in %)</t>
  </si>
  <si>
    <t>Depreciation
 (straight-line method)</t>
  </si>
  <si>
    <t>Cumulative depreciation</t>
  </si>
  <si>
    <t>Calculations for Depreciation</t>
  </si>
  <si>
    <t>Balance depreciation</t>
  </si>
  <si>
    <t>Yearly depreciation</t>
  </si>
  <si>
    <t>This calculates the annual net generation of a plant given the installed capacity and other parameters</t>
  </si>
  <si>
    <t>Capacity (MW) to annual net generation (MU) calculator</t>
  </si>
  <si>
    <t xml:space="preserve">Please enter the base price (in Rs. per metric ton). </t>
  </si>
  <si>
    <t>Please enter the cost of transporting coal (freight, road transport, etc.) (in Rs. per metric ton)</t>
  </si>
  <si>
    <t>Please enter the cess (in Rs. per metric ton). The GST compensation cess was earlier known as the clean environment cess.</t>
  </si>
  <si>
    <t>Please enter the total (in Rs. per metric ton) of the royalty paid to state governments as well as the various taxes and duties on coal.</t>
  </si>
  <si>
    <t>By default, the tool uses the value from the above step. Please enter the total landed cost of coal (in Rs. per metric ton) if a breakup of costs as mentioned above is not available.</t>
  </si>
  <si>
    <t>APSPDCL</t>
  </si>
  <si>
    <t>PGVCL</t>
  </si>
  <si>
    <t>WBSEDCL</t>
  </si>
  <si>
    <t>APDCL</t>
  </si>
  <si>
    <t>Tata Power, Delhi</t>
  </si>
  <si>
    <t>CESCO</t>
  </si>
  <si>
    <t>MP East DISCOM</t>
  </si>
  <si>
    <t>MSEDCL</t>
  </si>
  <si>
    <t>TANGEDCO</t>
  </si>
  <si>
    <t>UPPCL</t>
  </si>
  <si>
    <t>This is the gross electricity (in MU) available from the station. The formula takes into consideration total number of hours in a year, i.e., 8760 hours</t>
  </si>
  <si>
    <t>(Generally includes cost of long-term, medium-term, short term power purchase)</t>
  </si>
  <si>
    <t xml:space="preserve">(Includes rent and interest received, delayed payment charges, revenue from sale of scrap, royalty, new connection charges etc.) 
</t>
  </si>
  <si>
    <t xml:space="preserve">
Though every effort has been made to make the calculators user friendly, error-free and accurate, we are happy to receive suggestions and feedback to further improve them in terms of user-friendliness, simplicity, and any other aspect.  The calculators have been made available on as- is basis and do not constitute any professional advice.
</t>
  </si>
  <si>
    <t xml:space="preserve"> Reach us at: energy@prayaspune.org        </t>
  </si>
  <si>
    <t>This is a list of links to various calculators to compute energy consumptions for various DISCOMs in India</t>
  </si>
  <si>
    <t>This is the total amount of coal (in million metric ton) consumed by the generation station in a year.</t>
  </si>
  <si>
    <t>Rs/Ton</t>
  </si>
  <si>
    <t>MT / Yr.</t>
  </si>
  <si>
    <t>MU / Yr.</t>
  </si>
  <si>
    <t>This tool will allow you to calculate the variable (mostly fuel) cost of a coal based power plant, as well as the total coal consumption of  coal-based thermal generation station. It should be noted that coal transit loss, which is typically 1 % of coal requirement has not been considered in this calculator. If considered, variable cost and coal consumption will increase to that extent.</t>
  </si>
  <si>
    <t>Enter the amount of payments delayed or deferred in Rs. crore</t>
  </si>
  <si>
    <t>Sometimes the electricity commission approves costs as legitimate but does not allow them to become part of the ARR; it instead delays the recovery from consumers by forming revenue gaps (also called regulatory assets). What is the impact of this delay on consumer tariff in future years? Delay of payments results in  distribution company resorting to short term borrowing. This additional cost needs to be compensated to maintain DISCOMs financial viability. This calculator can be used to see how much payment (principal + interest) will be made each year, if the delayed payment is to be recovered in equal parts over few years from consumers.</t>
  </si>
  <si>
    <t>Enter the number of years over which the delayed amounts will be recovered from consumers</t>
  </si>
  <si>
    <t>Annual recovery of delayed payment from consumers (Rs. Cr / Yr)</t>
  </si>
  <si>
    <t>Total recovery to be made (Rs. Cr)</t>
  </si>
  <si>
    <t>Additional carrying cost/additional burden passed on to the consumers due to deferred revenue recovery ? (Rs. Cr)</t>
  </si>
  <si>
    <t xml:space="preserve">This calculator helps in making changes to cross-subsidy design in a way to see its impact on the revenue gap. The user can first fill in the information for Sales to various consumer categories (column C) and the total ARR (cell C19). Now they can enter tariff (inclusive of revenue subsidy by government) as % of average cost of supply in column D , i.e. how much more/less a category should pay  than the Average Cost of Supply (cell C20). The Average Billing Rate or tariff for each category is computed by the calculator (column E). Changing the cross-subsidy design helps us see the change in Revenue Gap (cell C21- it turns red when there is a revenue gap). </t>
  </si>
  <si>
    <t>ACoS (Rs./ kWh)</t>
  </si>
  <si>
    <t>Links to some energy consumption calculators</t>
  </si>
  <si>
    <t>State</t>
  </si>
  <si>
    <t>DISCOM</t>
  </si>
  <si>
    <t>Link</t>
  </si>
  <si>
    <t xml:space="preserve">This workbook contains a set of 10 calculators which are designed with the objective of enabling quick understanding of various techno-economic aspects of the electricity sector. This would facilitate better engagement in regulatory and policy processes by civil society groups and consumer activists.  When tariff petitions are filed by utilities or when regulatory orders are issued by Electricity Regulatory Commissions they often are several hundred pages long. This becomes a hindrance to public participation, especially for individuals newly introduced to the sector. These simple to use calculators help in understanding basic concepts and enable quick calculations. Users of these calculators are expected to have basic understanding of spreadsheet functionalities. Each calculator can be used independently. </t>
  </si>
  <si>
    <t xml:space="preserve">The calculators have been developed for research and analysis purpose and hence do not take into account specific regulations, methodologies, and terminology of any particular state. There may be slight variation or difference in details covered in regulations in different states. </t>
  </si>
  <si>
    <t>The results from any  calculators or tools are only as good as the input assumptions. Hence care should be taken to ensure that the inputs are accurate and realistic.  Cells, other than those marked as input cells in green, are locked to avoid inadvertent changes. User can unlock these cells to modify calculators  as  needed, as these are not password protected.</t>
  </si>
  <si>
    <t>This calculates coal consumption, cost of coal and the variable cost of power production</t>
  </si>
  <si>
    <t>Please enter a value (in %). Actual availability is the availability that the generation station was able to achieve in a year. The actual availability of a plant can fall below the norm for many reasons, not all attributable to the plant. Availability can also be greater than normative availability.</t>
  </si>
  <si>
    <t>Please enter a value (in %). Auxiliary consumption is the % of electricity used up in the generation process in the generation station, for example in running ancillary machinery.</t>
  </si>
  <si>
    <t>This is the coal consumed for exporting / selling 1 unit of electricity (i.e. after accounting for auxiliary consumption)</t>
  </si>
  <si>
    <t>This is the energy input for the DISCOM at the transmission periphery in a year (or requirement of OA/ captive consumers for self-consumption). This includes applicable distribution and transmission losses.</t>
  </si>
  <si>
    <t>This calculator captures the various components of an Aggregate Revenue Requirement (ARR) and associated key parameters. When a future ARR is proposed by the DISCOM, or during any revision of costs, the DISCOM proposes such changes in a petition to the regulator. This calculator helps in understanding the difference between proposed and existing costs and how much impact they have on the ARR (which translates to a tariff change for the consumers). It is important to track various components such as power purchase quantum, its cost (as it forms the major component of ARR), sale of power to consumers and the revenue recovery thereof, to understand key ratios such as Average Power Purchase Cost (APPC), Average Billing Rate (ABR) and Average Cost of Supply (ACoS). Better is the financial position of a DISCOM as the ABR nears the value of ACoS. This means that the DISCOM is able to recover its cost through sale of power to consumers, thereby reducing the Revenue Gap.</t>
  </si>
  <si>
    <t>(Generally includes net employee expenses, administrative &amp; general expenses, and repair and maintenance expenses)</t>
  </si>
  <si>
    <t>Benchmark consumption is often mentioned in the chapter on sales estimation in petitions and regulatory orders. Be careful to check if this is it given as kWh / HP / Yr. or Hours / HP / Yr. (1 HP = 0.746 kW)</t>
  </si>
  <si>
    <t>How is average consumption calculate when information on normative benchmark consumption is not given and the following information is available in a tariff order/ petition:
Number of consumers, connected load, sales estimation</t>
  </si>
  <si>
    <t>Revenue Gap (+) / Revenue Surplus(-)</t>
  </si>
  <si>
    <t>Current year revenue gap (+)/ revenue surplus (-)</t>
  </si>
  <si>
    <r>
      <t xml:space="preserve">Please enter a value (in %). Plant Load Factor is the percentage of time that the generation station actually generates electricity in a year. It is possible that the PLF </t>
    </r>
    <r>
      <rPr>
        <sz val="11"/>
        <color theme="1" tint="0.249977111117893"/>
        <rFont val="Calibri"/>
        <family val="2"/>
        <scheme val="minor"/>
      </rPr>
      <t>&lt;</t>
    </r>
    <r>
      <rPr>
        <sz val="10"/>
        <color theme="1" tint="0.249977111117893"/>
        <rFont val="Calibri"/>
        <family val="2"/>
        <scheme val="minor"/>
      </rPr>
      <t xml:space="preserve"> Availability if there is lesser demand for electricity.</t>
    </r>
  </si>
  <si>
    <r>
      <t xml:space="preserve">Total transmission cost </t>
    </r>
    <r>
      <rPr>
        <b/>
        <sz val="9"/>
        <color theme="1" tint="0.249977111117893"/>
        <rFont val="Calibri"/>
        <family val="2"/>
        <scheme val="minor"/>
      </rPr>
      <t>(Inter-state and Intra-state)</t>
    </r>
  </si>
  <si>
    <r>
      <t xml:space="preserve">Revenue from sale of power </t>
    </r>
    <r>
      <rPr>
        <sz val="9"/>
        <color theme="1" tint="0.249977111117893"/>
        <rFont val="Calibri"/>
        <family val="2"/>
        <scheme val="minor"/>
      </rPr>
      <t>( this is inclusive of government revenue subsidy)</t>
    </r>
  </si>
  <si>
    <r>
      <t xml:space="preserve">Average Power Purchase Cost </t>
    </r>
    <r>
      <rPr>
        <sz val="11"/>
        <color theme="1" tint="0.249977111117893"/>
        <rFont val="Calibri"/>
        <family val="2"/>
        <scheme val="minor"/>
      </rPr>
      <t>(APPC)  without transmission cost</t>
    </r>
  </si>
  <si>
    <r>
      <t xml:space="preserve">Average Power Purchase Cost </t>
    </r>
    <r>
      <rPr>
        <sz val="11"/>
        <color theme="1" tint="0.249977111117893"/>
        <rFont val="Calibri"/>
        <family val="2"/>
        <scheme val="minor"/>
      </rPr>
      <t>(APPC)  with  transmission cost</t>
    </r>
  </si>
  <si>
    <r>
      <t xml:space="preserve">Average Cost of Supply </t>
    </r>
    <r>
      <rPr>
        <sz val="11"/>
        <color theme="1" tint="0.249977111117893"/>
        <rFont val="Calibri"/>
        <family val="2"/>
        <scheme val="minor"/>
      </rPr>
      <t>(ACoS)</t>
    </r>
  </si>
  <si>
    <r>
      <t xml:space="preserve">Average Billing Rate </t>
    </r>
    <r>
      <rPr>
        <sz val="11"/>
        <color theme="1" tint="0.249977111117893"/>
        <rFont val="Calibri"/>
        <family val="2"/>
        <scheme val="minor"/>
      </rPr>
      <t>(ABR)</t>
    </r>
  </si>
  <si>
    <t xml:space="preserve">Enter the percentage of expenditure met by Debt (in %). A Debt: Equity ratio of 70%: 30% is common. This is usually mentioned in state-specific regulations </t>
  </si>
  <si>
    <t xml:space="preserve">Enter the number of years in which loan is to be repaid (between 1 and 15 years). This is usually mentioned in state-specific regulations </t>
  </si>
  <si>
    <r>
      <t xml:space="preserve">For more details regarding some specific topics, users may wish to refer to "Know Your Power- A Citizens' Primer on the Electricity Sector". 
For details regarding other publications of Prayas (Energy Group), please see: </t>
    </r>
    <r>
      <rPr>
        <sz val="10"/>
        <color rgb="FF2A63A8"/>
        <rFont val="Calibri"/>
        <family val="2"/>
        <scheme val="minor"/>
      </rPr>
      <t xml:space="preserve">http://www.prayaspune.org/peg/index.php  </t>
    </r>
    <r>
      <rPr>
        <sz val="10"/>
        <color theme="1" tint="0.249977111117893"/>
        <rFont val="Calibri"/>
        <family val="2"/>
        <scheme val="minor"/>
      </rPr>
      <t xml:space="preserve">
Other spreadsheet based tools and models  by Prayas (Energy Group) are also available on our website and include: Revenue and Tariff analysis for Electric Utilities (RATE) and RE Tariff and Financial Analysis Tool Version 2.</t>
    </r>
  </si>
  <si>
    <r>
      <rPr>
        <sz val="12"/>
        <color theme="1" tint="0.499984740745262"/>
        <rFont val="Calibri"/>
        <family val="2"/>
        <scheme val="minor"/>
      </rPr>
      <t>Developed By:</t>
    </r>
    <r>
      <rPr>
        <sz val="13"/>
        <color theme="1" tint="0.499984740745262"/>
        <rFont val="Calibri"/>
        <family val="2"/>
        <scheme val="minor"/>
      </rPr>
      <t xml:space="preserve">
Prayas (Energy Group), Pune, India</t>
    </r>
  </si>
  <si>
    <r>
      <t xml:space="preserve">Available for download at: </t>
    </r>
    <r>
      <rPr>
        <sz val="12"/>
        <color rgb="FF2A63A8"/>
        <rFont val="Calibri"/>
        <family val="2"/>
        <scheme val="minor"/>
      </rPr>
      <t>prayaspune.org/peg</t>
    </r>
  </si>
  <si>
    <r>
      <rPr>
        <sz val="38"/>
        <color rgb="FF558ED5"/>
        <rFont val="Calibri"/>
        <family val="2"/>
        <scheme val="minor"/>
      </rPr>
      <t>simpl</t>
    </r>
    <r>
      <rPr>
        <sz val="60"/>
        <color rgb="FF558ED5"/>
        <rFont val="Calibri"/>
        <family val="2"/>
        <scheme val="minor"/>
      </rPr>
      <t>E-C</t>
    </r>
    <r>
      <rPr>
        <sz val="38"/>
        <color rgb="FF558ED5"/>
        <rFont val="Calibri"/>
        <family val="2"/>
        <scheme val="minor"/>
      </rPr>
      <t>heck</t>
    </r>
  </si>
  <si>
    <t>Notes for users of simplE-Check</t>
  </si>
  <si>
    <t xml:space="preserve">Simple calculators to help effective engagement in electricity regulatory, policy &amp; tariff processes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</si>
</sst>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
    <numFmt numFmtId="166" formatCode="[$-409]mmm/yy;@"/>
    <numFmt numFmtId="167" formatCode="0.0%"/>
  </numFmts>
  <fonts count="44"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48"/>
      <color rgb="FF558ED5"/>
      <name val="Calibri"/>
      <family val="2"/>
      <scheme val="minor"/>
    </font>
    <font>
      <sz val="48"/>
      <color theme="1" tint="0.499984740745262"/>
      <name val="Calibri"/>
      <family val="2"/>
      <scheme val="minor"/>
    </font>
    <font>
      <b/>
      <sz val="12"/>
      <name val="Calibri"/>
      <family val="2"/>
      <scheme val="minor"/>
    </font>
    <font>
      <sz val="13"/>
      <color theme="1" tint="0.499984740745262"/>
      <name val="Calibri"/>
      <family val="2"/>
      <scheme val="minor"/>
    </font>
    <font>
      <sz val="12"/>
      <color theme="1" tint="0.499984740745262"/>
      <name val="Calibri"/>
      <family val="2"/>
      <scheme val="minor"/>
    </font>
    <font>
      <sz val="10"/>
      <color theme="1" tint="0.34998626667073579"/>
      <name val="Calibri"/>
      <family val="2"/>
      <scheme val="minor"/>
    </font>
    <font>
      <sz val="10"/>
      <color theme="1"/>
      <name val="Calibri"/>
      <family val="2"/>
      <scheme val="minor"/>
    </font>
    <font>
      <b/>
      <sz val="18"/>
      <color rgb="FF558ED5"/>
      <name val="Calibri"/>
      <family val="2"/>
      <scheme val="minor"/>
    </font>
    <font>
      <sz val="10"/>
      <color theme="1" tint="0.249977111117893"/>
      <name val="Calibri"/>
      <family val="2"/>
      <scheme val="minor"/>
    </font>
    <font>
      <sz val="18"/>
      <color rgb="FF558ED5"/>
      <name val="Calibri"/>
      <family val="2"/>
      <scheme val="minor"/>
    </font>
    <font>
      <sz val="10"/>
      <name val="Calibri"/>
      <family val="2"/>
      <scheme val="minor"/>
    </font>
    <font>
      <u/>
      <sz val="10"/>
      <color theme="10"/>
      <name val="Calibri"/>
      <family val="2"/>
      <scheme val="minor"/>
    </font>
    <font>
      <sz val="11"/>
      <name val="Calibri"/>
      <family val="2"/>
      <scheme val="minor"/>
    </font>
    <font>
      <sz val="9"/>
      <color theme="1"/>
      <name val="Calibri"/>
      <family val="2"/>
      <scheme val="minor"/>
    </font>
    <font>
      <b/>
      <sz val="14"/>
      <color theme="0"/>
      <name val="Calibri"/>
      <family val="2"/>
      <scheme val="minor"/>
    </font>
    <font>
      <b/>
      <sz val="10"/>
      <color theme="1" tint="0.249977111117893"/>
      <name val="Calibri"/>
      <family val="2"/>
      <scheme val="minor"/>
    </font>
    <font>
      <sz val="11"/>
      <color theme="1" tint="0.249977111117893"/>
      <name val="Calibri"/>
      <family val="2"/>
      <scheme val="minor"/>
    </font>
    <font>
      <sz val="9"/>
      <color theme="1" tint="0.249977111117893"/>
      <name val="Calibri"/>
      <family val="2"/>
      <scheme val="minor"/>
    </font>
    <font>
      <sz val="10"/>
      <color theme="6" tint="-0.499984740745262"/>
      <name val="Calibri"/>
      <family val="2"/>
      <scheme val="minor"/>
    </font>
    <font>
      <b/>
      <sz val="11"/>
      <color theme="1" tint="0.249977111117893"/>
      <name val="Calibri"/>
      <family val="2"/>
      <scheme val="minor"/>
    </font>
    <font>
      <b/>
      <sz val="9"/>
      <color theme="1" tint="0.249977111117893"/>
      <name val="Calibri"/>
      <family val="2"/>
      <scheme val="minor"/>
    </font>
    <font>
      <b/>
      <sz val="10"/>
      <color theme="1"/>
      <name val="Calibri"/>
      <family val="2"/>
      <scheme val="minor"/>
    </font>
    <font>
      <b/>
      <sz val="12"/>
      <color theme="1" tint="0.249977111117893"/>
      <name val="Calibri"/>
      <family val="2"/>
      <scheme val="minor"/>
    </font>
    <font>
      <b/>
      <sz val="11"/>
      <color theme="1" tint="0.34998626667073579"/>
      <name val="Calibri"/>
      <family val="2"/>
      <scheme val="minor"/>
    </font>
    <font>
      <b/>
      <sz val="10"/>
      <color theme="1" tint="0.34998626667073579"/>
      <name val="Calibri"/>
      <family val="2"/>
      <scheme val="minor"/>
    </font>
    <font>
      <sz val="12"/>
      <color theme="1"/>
      <name val="Calibri"/>
      <family val="2"/>
      <scheme val="minor"/>
    </font>
    <font>
      <sz val="8"/>
      <color theme="1" tint="0.249977111117893"/>
      <name val="Calibri"/>
      <family val="2"/>
      <scheme val="minor"/>
    </font>
    <font>
      <i/>
      <sz val="10"/>
      <color theme="1" tint="0.249977111117893"/>
      <name val="Calibri"/>
      <family val="2"/>
      <scheme val="minor"/>
    </font>
    <font>
      <sz val="10"/>
      <color theme="0"/>
      <name val="Calibri"/>
      <family val="2"/>
      <scheme val="minor"/>
    </font>
    <font>
      <sz val="9"/>
      <color theme="0"/>
      <name val="Calibri"/>
      <family val="2"/>
      <scheme val="minor"/>
    </font>
    <font>
      <u/>
      <sz val="9"/>
      <color theme="10"/>
      <name val="Calibri"/>
      <family val="2"/>
      <scheme val="minor"/>
    </font>
    <font>
      <sz val="10"/>
      <color rgb="FF2A63A8"/>
      <name val="Calibri"/>
      <family val="2"/>
      <scheme val="minor"/>
    </font>
    <font>
      <sz val="10"/>
      <color theme="1" tint="0.499984740745262"/>
      <name val="Calibri"/>
      <family val="2"/>
      <scheme val="minor"/>
    </font>
    <font>
      <sz val="12"/>
      <color rgb="FF2A63A8"/>
      <name val="Calibri"/>
      <family val="2"/>
      <scheme val="minor"/>
    </font>
    <font>
      <sz val="38"/>
      <color rgb="FF558ED5"/>
      <name val="Calibri"/>
      <family val="2"/>
      <scheme val="minor"/>
    </font>
    <font>
      <sz val="60"/>
      <color rgb="FF558ED5"/>
      <name val="Calibri"/>
      <family val="2"/>
      <scheme val="minor"/>
    </font>
    <font>
      <i/>
      <sz val="12"/>
      <color theme="1" tint="0.49998474074526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D3EBC3"/>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5F5F5"/>
        <bgColor indexed="64"/>
      </patternFill>
    </fill>
    <fill>
      <patternFill patternType="solid">
        <fgColor theme="0" tint="-0.34998626667073579"/>
        <bgColor indexed="64"/>
      </patternFill>
    </fill>
  </fills>
  <borders count="64">
    <border>
      <left/>
      <right/>
      <top/>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right/>
      <top style="medium">
        <color theme="0"/>
      </top>
      <bottom style="medium">
        <color theme="0"/>
      </bottom>
      <diagonal/>
    </border>
    <border>
      <left style="thin">
        <color theme="0" tint="-0.249977111117893"/>
      </left>
      <right/>
      <top/>
      <bottom style="medium">
        <color theme="0"/>
      </bottom>
      <diagonal/>
    </border>
    <border>
      <left/>
      <right/>
      <top/>
      <bottom style="medium">
        <color theme="0"/>
      </bottom>
      <diagonal/>
    </border>
    <border>
      <left style="thin">
        <color theme="0"/>
      </left>
      <right/>
      <top/>
      <bottom style="medium">
        <color theme="0"/>
      </bottom>
      <diagonal/>
    </border>
    <border>
      <left style="medium">
        <color theme="1" tint="0.249977111117893"/>
      </left>
      <right/>
      <top style="medium">
        <color theme="1" tint="0.249977111117893"/>
      </top>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medium">
        <color theme="1" tint="0.249977111117893"/>
      </left>
      <right style="medium">
        <color theme="0"/>
      </right>
      <top style="medium">
        <color theme="0"/>
      </top>
      <bottom style="medium">
        <color theme="0"/>
      </bottom>
      <diagonal/>
    </border>
    <border>
      <left/>
      <right style="medium">
        <color theme="1" tint="0.249977111117893"/>
      </right>
      <top/>
      <bottom/>
      <diagonal/>
    </border>
    <border>
      <left style="medium">
        <color theme="1" tint="0.249977111117893"/>
      </left>
      <right/>
      <top/>
      <bottom/>
      <diagonal/>
    </border>
    <border>
      <left style="medium">
        <color theme="1" tint="0.249977111117893"/>
      </left>
      <right style="thin">
        <color theme="0"/>
      </right>
      <top style="thin">
        <color theme="0"/>
      </top>
      <bottom style="thin">
        <color theme="0"/>
      </bottom>
      <diagonal/>
    </border>
    <border>
      <left style="thin">
        <color theme="0"/>
      </left>
      <right style="medium">
        <color theme="1" tint="0.249977111117893"/>
      </right>
      <top style="thin">
        <color theme="0"/>
      </top>
      <bottom style="thin">
        <color theme="0"/>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style="medium">
        <color theme="1" tint="0.249977111117893"/>
      </left>
      <right/>
      <top style="medium">
        <color theme="1" tint="0.249977111117893"/>
      </top>
      <bottom style="medium">
        <color theme="0"/>
      </bottom>
      <diagonal/>
    </border>
    <border>
      <left/>
      <right/>
      <top style="medium">
        <color theme="1" tint="0.249977111117893"/>
      </top>
      <bottom style="medium">
        <color theme="0"/>
      </bottom>
      <diagonal/>
    </border>
    <border>
      <left/>
      <right style="medium">
        <color theme="1" tint="0.249977111117893"/>
      </right>
      <top style="medium">
        <color theme="1" tint="0.249977111117893"/>
      </top>
      <bottom style="medium">
        <color theme="0"/>
      </bottom>
      <diagonal/>
    </border>
    <border>
      <left/>
      <right style="medium">
        <color theme="1" tint="0.249977111117893"/>
      </right>
      <top style="medium">
        <color theme="0"/>
      </top>
      <bottom style="medium">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medium">
        <color indexed="64"/>
      </right>
      <top style="thin">
        <color theme="0"/>
      </top>
      <bottom style="thin">
        <color theme="0"/>
      </bottom>
      <diagonal/>
    </border>
    <border>
      <left style="medium">
        <color indexed="64"/>
      </left>
      <right style="medium">
        <color theme="0"/>
      </right>
      <top style="medium">
        <color theme="0"/>
      </top>
      <bottom style="medium">
        <color theme="0"/>
      </bottom>
      <diagonal/>
    </border>
    <border>
      <left/>
      <right style="thin">
        <color indexed="64"/>
      </right>
      <top/>
      <bottom/>
      <diagonal/>
    </border>
    <border>
      <left style="thin">
        <color theme="0"/>
      </left>
      <right/>
      <top style="thin">
        <color theme="0"/>
      </top>
      <bottom style="thin">
        <color theme="0"/>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indexed="64"/>
      </bottom>
      <diagonal/>
    </border>
    <border>
      <left/>
      <right style="thin">
        <color indexed="64"/>
      </right>
      <top/>
      <bottom style="thin">
        <color indexed="64"/>
      </bottom>
      <diagonal/>
    </border>
    <border>
      <left style="medium">
        <color indexed="64"/>
      </left>
      <right style="thin">
        <color theme="0"/>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34998626667073579"/>
      </right>
      <top style="medium">
        <color theme="0" tint="-0.249977111117893"/>
      </top>
      <bottom/>
      <diagonal/>
    </border>
    <border>
      <left/>
      <right style="thin">
        <color theme="0" tint="-0.34998626667073579"/>
      </right>
      <top style="medium">
        <color theme="0" tint="-0.249977111117893"/>
      </top>
      <bottom/>
      <diagonal/>
    </border>
    <border>
      <left style="thin">
        <color theme="0" tint="-0.34998626667073579"/>
      </left>
      <right style="thin">
        <color theme="0" tint="-0.34998626667073579"/>
      </right>
      <top style="medium">
        <color theme="0" tint="-0.249977111117893"/>
      </top>
      <bottom/>
      <diagonal/>
    </border>
    <border>
      <left style="thin">
        <color theme="0" tint="-0.34998626667073579"/>
      </left>
      <right style="medium">
        <color theme="0" tint="-0.249977111117893"/>
      </right>
      <top style="medium">
        <color theme="0" tint="-0.249977111117893"/>
      </top>
      <bottom/>
      <diagonal/>
    </border>
    <border>
      <left style="medium">
        <color theme="0" tint="-0.249977111117893"/>
      </left>
      <right/>
      <top/>
      <bottom style="thin">
        <color theme="0" tint="-0.249977111117893"/>
      </bottom>
      <diagonal/>
    </border>
    <border>
      <left/>
      <right style="medium">
        <color theme="0" tint="-0.249977111117893"/>
      </right>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medium">
        <color theme="0" tint="-0.249977111117893"/>
      </left>
      <right/>
      <top/>
      <bottom style="medium">
        <color theme="0" tint="-0.249977111117893"/>
      </bottom>
      <diagonal/>
    </border>
    <border>
      <left/>
      <right/>
      <top/>
      <bottom style="medium">
        <color theme="0" tint="-0.249977111117893"/>
      </bottom>
      <diagonal/>
    </border>
    <border>
      <left/>
      <right style="medium">
        <color theme="0" tint="-0.249977111117893"/>
      </right>
      <top/>
      <bottom style="medium">
        <color theme="0" tint="-0.249977111117893"/>
      </bottom>
      <diagonal/>
    </border>
    <border>
      <left style="thin">
        <color theme="0"/>
      </left>
      <right/>
      <top/>
      <bottom/>
      <diagonal/>
    </border>
    <border>
      <left style="thin">
        <color theme="0"/>
      </left>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0" fontId="3" fillId="0" borderId="0"/>
    <xf numFmtId="166" fontId="3" fillId="0" borderId="0">
      <alignment vertical="center"/>
    </xf>
  </cellStyleXfs>
  <cellXfs count="388">
    <xf numFmtId="0" fontId="0" fillId="0" borderId="0" xfId="0"/>
    <xf numFmtId="0" fontId="0" fillId="0" borderId="0" xfId="0" applyFont="1" applyAlignment="1" applyProtection="1">
      <alignment vertical="center" wrapText="1"/>
    </xf>
    <xf numFmtId="0" fontId="5" fillId="0" borderId="0" xfId="0" applyFont="1" applyAlignment="1" applyProtection="1">
      <alignment vertical="center" wrapText="1"/>
    </xf>
    <xf numFmtId="0" fontId="19" fillId="0" borderId="0" xfId="2" applyFont="1" applyBorder="1" applyAlignment="1" applyProtection="1">
      <alignment horizontal="center" vertical="center" wrapText="1"/>
    </xf>
    <xf numFmtId="0" fontId="2" fillId="0" borderId="0" xfId="2" applyFont="1" applyBorder="1" applyAlignment="1" applyProtection="1">
      <alignment vertical="center" wrapText="1"/>
    </xf>
    <xf numFmtId="0" fontId="0" fillId="0" borderId="0" xfId="0" applyFont="1" applyBorder="1" applyAlignment="1" applyProtection="1">
      <alignment vertical="center" wrapText="1"/>
    </xf>
    <xf numFmtId="0" fontId="18" fillId="0" borderId="49" xfId="2" applyFont="1" applyBorder="1" applyAlignment="1" applyProtection="1">
      <alignment horizontal="left" vertical="center" wrapText="1"/>
    </xf>
    <xf numFmtId="0" fontId="18" fillId="0" borderId="50" xfId="2" applyFont="1" applyBorder="1" applyAlignment="1" applyProtection="1">
      <alignment horizontal="left" vertical="center" wrapText="1"/>
    </xf>
    <xf numFmtId="0" fontId="4" fillId="9" borderId="51" xfId="0" applyFont="1" applyFill="1" applyBorder="1" applyAlignment="1" applyProtection="1">
      <alignment horizontal="center" vertical="center" wrapText="1"/>
    </xf>
    <xf numFmtId="0" fontId="4" fillId="9" borderId="52" xfId="0" applyFont="1" applyFill="1" applyBorder="1" applyAlignment="1" applyProtection="1">
      <alignment horizontal="left" vertical="center" wrapText="1"/>
    </xf>
    <xf numFmtId="0" fontId="4" fillId="9" borderId="53" xfId="0" applyFont="1" applyFill="1" applyBorder="1" applyAlignment="1" applyProtection="1">
      <alignment horizontal="left" vertical="center" wrapText="1"/>
    </xf>
    <xf numFmtId="0" fontId="4" fillId="9" borderId="54" xfId="0" applyFont="1" applyFill="1" applyBorder="1" applyAlignment="1" applyProtection="1">
      <alignment horizontal="center" vertical="center" wrapText="1"/>
    </xf>
    <xf numFmtId="0" fontId="17" fillId="0" borderId="55" xfId="2" applyFont="1" applyBorder="1" applyAlignment="1" applyProtection="1">
      <alignment horizontal="center" vertical="center" wrapText="1"/>
    </xf>
    <xf numFmtId="0" fontId="17" fillId="0" borderId="57" xfId="2" applyFont="1" applyBorder="1" applyAlignment="1" applyProtection="1">
      <alignment horizontal="center" vertical="center" wrapText="1"/>
    </xf>
    <xf numFmtId="0" fontId="17" fillId="0" borderId="59" xfId="2" applyFont="1" applyBorder="1" applyAlignment="1" applyProtection="1">
      <alignment horizontal="center" vertical="center" wrapText="1"/>
    </xf>
    <xf numFmtId="0" fontId="18" fillId="0" borderId="60" xfId="2" applyFont="1" applyBorder="1" applyAlignment="1" applyProtection="1">
      <alignment horizontal="left" vertical="center" wrapText="1"/>
    </xf>
    <xf numFmtId="0" fontId="13" fillId="0" borderId="49" xfId="0" applyFont="1" applyBorder="1" applyAlignment="1" applyProtection="1">
      <alignment horizontal="left" vertical="center" wrapText="1"/>
    </xf>
    <xf numFmtId="0" fontId="13" fillId="0" borderId="56" xfId="0" applyFont="1" applyBorder="1" applyAlignment="1" applyProtection="1">
      <alignment horizontal="left" vertical="center" wrapText="1"/>
    </xf>
    <xf numFmtId="0" fontId="13" fillId="0" borderId="50" xfId="0" applyFont="1" applyBorder="1" applyAlignment="1" applyProtection="1">
      <alignment horizontal="left" vertical="center" wrapText="1"/>
    </xf>
    <xf numFmtId="0" fontId="13" fillId="0" borderId="58" xfId="0" applyFont="1" applyBorder="1" applyAlignment="1" applyProtection="1">
      <alignment horizontal="left" vertical="center" wrapText="1"/>
    </xf>
    <xf numFmtId="0" fontId="13" fillId="0" borderId="60" xfId="0" applyFont="1" applyBorder="1" applyAlignment="1" applyProtection="1">
      <alignment horizontal="left" vertical="center" wrapText="1"/>
    </xf>
    <xf numFmtId="0" fontId="13" fillId="0" borderId="61" xfId="0" applyFont="1" applyBorder="1" applyAlignment="1" applyProtection="1">
      <alignment horizontal="left" vertical="center" wrapText="1"/>
    </xf>
    <xf numFmtId="0" fontId="25" fillId="3" borderId="2" xfId="3" applyNumberFormat="1" applyFont="1" applyFill="1" applyBorder="1" applyAlignment="1" applyProtection="1">
      <alignment horizontal="center" vertical="center" wrapText="1"/>
      <protection locked="0"/>
    </xf>
    <xf numFmtId="9" fontId="25" fillId="3" borderId="2" xfId="1" applyFont="1" applyFill="1" applyBorder="1" applyAlignment="1" applyProtection="1">
      <alignment horizontal="center" vertical="center" wrapText="1"/>
      <protection locked="0"/>
    </xf>
    <xf numFmtId="167" fontId="25" fillId="3" borderId="2" xfId="1" applyNumberFormat="1" applyFont="1" applyFill="1" applyBorder="1" applyAlignment="1" applyProtection="1">
      <alignment horizontal="center" vertical="center" wrapText="1"/>
      <protection locked="0"/>
    </xf>
    <xf numFmtId="1" fontId="25" fillId="3" borderId="2" xfId="3" applyNumberFormat="1" applyFont="1" applyFill="1" applyBorder="1" applyAlignment="1" applyProtection="1">
      <alignment horizontal="center" vertical="center" wrapText="1"/>
      <protection locked="0"/>
    </xf>
    <xf numFmtId="0" fontId="15" fillId="3" borderId="2" xfId="3" applyNumberFormat="1" applyFont="1" applyFill="1" applyBorder="1" applyAlignment="1" applyProtection="1">
      <alignment horizontal="center" vertical="center" wrapText="1"/>
      <protection locked="0"/>
    </xf>
    <xf numFmtId="167" fontId="15" fillId="3" borderId="2" xfId="1" applyNumberFormat="1" applyFont="1" applyFill="1" applyBorder="1" applyAlignment="1" applyProtection="1">
      <alignment horizontal="center" vertical="center" wrapText="1"/>
      <protection locked="0"/>
    </xf>
    <xf numFmtId="9" fontId="15" fillId="3" borderId="2" xfId="1" applyFont="1" applyFill="1" applyBorder="1" applyAlignment="1" applyProtection="1">
      <alignment horizontal="center" vertical="center" wrapText="1"/>
      <protection locked="0"/>
    </xf>
    <xf numFmtId="0" fontId="25" fillId="3" borderId="0" xfId="3" applyNumberFormat="1" applyFont="1" applyFill="1" applyBorder="1" applyAlignment="1" applyProtection="1">
      <alignment horizontal="center" vertical="center" wrapText="1"/>
      <protection locked="0"/>
    </xf>
    <xf numFmtId="167" fontId="15" fillId="3" borderId="34" xfId="1" applyNumberFormat="1" applyFont="1" applyFill="1" applyBorder="1" applyAlignment="1" applyProtection="1">
      <alignment horizontal="center" vertical="center" wrapText="1"/>
      <protection locked="0"/>
    </xf>
    <xf numFmtId="165" fontId="15" fillId="3" borderId="2" xfId="3" applyNumberFormat="1" applyFont="1" applyFill="1" applyBorder="1" applyAlignment="1" applyProtection="1">
      <alignment horizontal="center" vertical="center" wrapText="1"/>
      <protection locked="0"/>
    </xf>
    <xf numFmtId="9" fontId="15" fillId="3" borderId="42" xfId="1" applyFont="1" applyFill="1" applyBorder="1" applyAlignment="1" applyProtection="1">
      <alignment horizontal="center" vertical="center" wrapText="1"/>
      <protection locked="0"/>
    </xf>
    <xf numFmtId="0" fontId="25" fillId="3" borderId="37" xfId="3" applyNumberFormat="1" applyFont="1" applyFill="1" applyBorder="1" applyAlignment="1" applyProtection="1">
      <alignment horizontal="center" vertical="center" wrapText="1"/>
      <protection locked="0"/>
    </xf>
    <xf numFmtId="9" fontId="25" fillId="3" borderId="37" xfId="1" applyFont="1" applyFill="1" applyBorder="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Protection="1"/>
    <xf numFmtId="0" fontId="21" fillId="0" borderId="0" xfId="0" applyFont="1" applyFill="1" applyAlignment="1" applyProtection="1">
      <alignment vertical="center" wrapText="1"/>
    </xf>
    <xf numFmtId="0" fontId="22" fillId="0" borderId="28" xfId="0" applyFont="1" applyBorder="1" applyAlignment="1" applyProtection="1">
      <alignment horizontal="left" vertical="center" wrapText="1"/>
    </xf>
    <xf numFmtId="0" fontId="22" fillId="0" borderId="0" xfId="0" applyFont="1" applyBorder="1" applyAlignment="1" applyProtection="1">
      <alignment horizontal="center" vertical="center" wrapText="1"/>
    </xf>
    <xf numFmtId="0" fontId="15" fillId="0" borderId="28" xfId="0" applyFont="1" applyBorder="1" applyAlignment="1" applyProtection="1">
      <alignment horizontal="left" vertical="center" wrapText="1"/>
    </xf>
    <xf numFmtId="0" fontId="15" fillId="0" borderId="0" xfId="0" applyFont="1" applyBorder="1" applyAlignment="1" applyProtection="1">
      <alignment horizontal="center" vertical="center" wrapText="1"/>
    </xf>
    <xf numFmtId="0" fontId="37" fillId="0" borderId="29" xfId="2" applyFont="1" applyBorder="1" applyAlignment="1" applyProtection="1">
      <alignment vertical="center" wrapText="1"/>
    </xf>
    <xf numFmtId="0" fontId="0" fillId="0" borderId="30" xfId="0" applyFont="1" applyBorder="1" applyAlignment="1" applyProtection="1">
      <alignment vertical="center" wrapText="1"/>
    </xf>
    <xf numFmtId="0" fontId="0" fillId="0" borderId="31" xfId="0" applyFont="1" applyBorder="1" applyAlignment="1" applyProtection="1">
      <alignment horizontal="center" vertical="center" wrapText="1"/>
    </xf>
    <xf numFmtId="0" fontId="0" fillId="0" borderId="32" xfId="0" applyFont="1" applyBorder="1" applyAlignment="1" applyProtection="1">
      <alignment vertical="center" wrapText="1"/>
    </xf>
    <xf numFmtId="0" fontId="0" fillId="5" borderId="0" xfId="0" applyFont="1" applyFill="1" applyAlignment="1" applyProtection="1">
      <alignment vertical="center"/>
    </xf>
    <xf numFmtId="0" fontId="0" fillId="7" borderId="0" xfId="0" applyFont="1" applyFill="1" applyAlignment="1" applyProtection="1">
      <alignment vertical="center"/>
    </xf>
    <xf numFmtId="0" fontId="0" fillId="5" borderId="0" xfId="0" applyFont="1" applyFill="1" applyAlignment="1" applyProtection="1">
      <alignment horizontal="center" vertical="center"/>
    </xf>
    <xf numFmtId="0" fontId="9" fillId="5" borderId="0" xfId="0" applyFont="1" applyFill="1" applyBorder="1" applyAlignment="1" applyProtection="1">
      <alignment vertical="center" wrapText="1"/>
    </xf>
    <xf numFmtId="0" fontId="0" fillId="7" borderId="0" xfId="0" applyFont="1" applyFill="1" applyAlignment="1" applyProtection="1">
      <alignment horizontal="center" vertical="center"/>
    </xf>
    <xf numFmtId="0" fontId="0" fillId="0" borderId="0" xfId="0" applyFont="1" applyFill="1" applyProtection="1"/>
    <xf numFmtId="0" fontId="13" fillId="5" borderId="0" xfId="0" applyFont="1" applyFill="1" applyAlignment="1" applyProtection="1">
      <alignment vertical="center"/>
    </xf>
    <xf numFmtId="0" fontId="13" fillId="7" borderId="0" xfId="0" applyFont="1" applyFill="1" applyAlignment="1" applyProtection="1">
      <alignment vertical="center"/>
    </xf>
    <xf numFmtId="0" fontId="14" fillId="5" borderId="0" xfId="0" applyFont="1" applyFill="1" applyAlignment="1" applyProtection="1">
      <alignment vertical="center"/>
    </xf>
    <xf numFmtId="0" fontId="0" fillId="0" borderId="0" xfId="0" applyFont="1" applyFill="1" applyAlignment="1" applyProtection="1">
      <alignment vertical="center"/>
    </xf>
    <xf numFmtId="0" fontId="0" fillId="5" borderId="0" xfId="0" applyFont="1" applyFill="1" applyAlignment="1" applyProtection="1">
      <alignment horizontal="center" vertical="center" wrapText="1"/>
    </xf>
    <xf numFmtId="0" fontId="16" fillId="0" borderId="0" xfId="0" applyFont="1" applyFill="1" applyAlignment="1" applyProtection="1">
      <alignment vertical="center"/>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wrapText="1"/>
    </xf>
    <xf numFmtId="0" fontId="0" fillId="5" borderId="0" xfId="0" applyFont="1" applyFill="1" applyAlignment="1" applyProtection="1">
      <alignment vertical="center" wrapText="1"/>
    </xf>
    <xf numFmtId="0" fontId="25" fillId="3" borderId="2" xfId="3" applyNumberFormat="1" applyFont="1" applyFill="1" applyBorder="1" applyAlignment="1" applyProtection="1">
      <alignment horizontal="center" vertical="center" wrapText="1"/>
    </xf>
    <xf numFmtId="9" fontId="25" fillId="3" borderId="2" xfId="1" applyFont="1" applyFill="1" applyBorder="1" applyAlignment="1" applyProtection="1">
      <alignment horizontal="center" vertical="center" wrapText="1"/>
    </xf>
    <xf numFmtId="0" fontId="20" fillId="0" borderId="3" xfId="0" applyFont="1" applyBorder="1" applyAlignment="1" applyProtection="1">
      <alignment horizontal="center" vertical="center"/>
      <protection locked="0"/>
    </xf>
    <xf numFmtId="0" fontId="20" fillId="0" borderId="4"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0" fillId="0" borderId="5"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7"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xf>
    <xf numFmtId="0" fontId="22" fillId="3" borderId="13" xfId="0" applyFont="1" applyFill="1" applyBorder="1" applyAlignment="1" applyProtection="1">
      <alignment vertical="center" wrapText="1"/>
    </xf>
    <xf numFmtId="0" fontId="22" fillId="0" borderId="6" xfId="0" applyFont="1" applyFill="1" applyBorder="1" applyAlignment="1" applyProtection="1">
      <alignment vertical="center" wrapText="1"/>
    </xf>
    <xf numFmtId="0" fontId="22" fillId="0" borderId="24" xfId="0" applyFont="1" applyFill="1" applyBorder="1" applyAlignment="1" applyProtection="1">
      <alignment vertical="center" wrapText="1"/>
    </xf>
    <xf numFmtId="0" fontId="22" fillId="2" borderId="15" xfId="0" applyFont="1" applyFill="1" applyBorder="1" applyAlignment="1" applyProtection="1">
      <alignment horizontal="left" vertical="center" wrapText="1"/>
    </xf>
    <xf numFmtId="0" fontId="22" fillId="2" borderId="0"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3" fillId="0" borderId="15" xfId="0" applyFont="1" applyBorder="1" applyAlignment="1" applyProtection="1">
      <alignment horizontal="left" vertical="center" wrapText="1"/>
    </xf>
    <xf numFmtId="0" fontId="24" fillId="0" borderId="0" xfId="0" applyFont="1" applyBorder="1" applyAlignment="1" applyProtection="1">
      <alignment horizontal="center" vertical="center" wrapText="1"/>
    </xf>
    <xf numFmtId="0" fontId="15" fillId="0" borderId="14" xfId="0" applyFont="1" applyFill="1" applyBorder="1" applyAlignment="1" applyProtection="1">
      <alignment horizontal="left" vertical="center" wrapText="1"/>
    </xf>
    <xf numFmtId="0" fontId="20" fillId="0" borderId="0" xfId="0" applyFont="1" applyBorder="1" applyAlignment="1" applyProtection="1">
      <alignment horizontal="center" vertical="center" wrapText="1"/>
    </xf>
    <xf numFmtId="9" fontId="15" fillId="0" borderId="14" xfId="0" applyNumberFormat="1"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 fontId="15" fillId="5" borderId="0" xfId="0" applyNumberFormat="1" applyFont="1" applyFill="1" applyBorder="1" applyAlignment="1" applyProtection="1">
      <alignment horizontal="center" vertical="center" wrapText="1"/>
    </xf>
    <xf numFmtId="1" fontId="15" fillId="0" borderId="14" xfId="0" applyNumberFormat="1" applyFont="1" applyFill="1" applyBorder="1" applyAlignment="1" applyProtection="1">
      <alignment horizontal="left" vertical="center" wrapText="1"/>
    </xf>
    <xf numFmtId="0" fontId="26" fillId="0" borderId="15" xfId="0" applyFont="1" applyFill="1" applyBorder="1" applyAlignment="1" applyProtection="1">
      <alignment horizontal="left" vertical="center" wrapText="1"/>
    </xf>
    <xf numFmtId="1" fontId="22" fillId="0" borderId="0" xfId="0" applyNumberFormat="1" applyFont="1" applyBorder="1" applyAlignment="1" applyProtection="1">
      <alignment horizontal="center" vertical="center" wrapText="1"/>
    </xf>
    <xf numFmtId="0" fontId="26" fillId="0" borderId="18" xfId="0" applyFont="1" applyBorder="1" applyAlignment="1" applyProtection="1">
      <alignment horizontal="left" vertical="center" wrapText="1"/>
    </xf>
    <xf numFmtId="0" fontId="15" fillId="0" borderId="19" xfId="0" applyFont="1" applyBorder="1" applyAlignment="1" applyProtection="1">
      <alignment horizontal="center" vertical="center" wrapText="1"/>
    </xf>
    <xf numFmtId="0" fontId="24" fillId="0" borderId="19" xfId="0" applyFont="1" applyBorder="1" applyAlignment="1" applyProtection="1">
      <alignment horizontal="center" vertical="center" wrapText="1"/>
    </xf>
    <xf numFmtId="1" fontId="26" fillId="0" borderId="19" xfId="0" applyNumberFormat="1" applyFont="1" applyBorder="1" applyAlignment="1" applyProtection="1">
      <alignment horizontal="center" vertical="center" wrapText="1"/>
    </xf>
    <xf numFmtId="1" fontId="15" fillId="0" borderId="20" xfId="0" applyNumberFormat="1" applyFont="1" applyFill="1" applyBorder="1" applyAlignment="1" applyProtection="1">
      <alignment horizontal="left" vertical="center" wrapText="1"/>
    </xf>
    <xf numFmtId="0" fontId="20" fillId="0" borderId="8" xfId="0" applyFont="1" applyBorder="1" applyAlignment="1" applyProtection="1">
      <alignment horizontal="center" vertical="center" wrapText="1"/>
    </xf>
    <xf numFmtId="0" fontId="0" fillId="0" borderId="3" xfId="0" applyFont="1" applyBorder="1" applyAlignment="1" applyProtection="1">
      <alignment wrapText="1"/>
    </xf>
    <xf numFmtId="0" fontId="0" fillId="0" borderId="4" xfId="0" applyFont="1" applyBorder="1" applyAlignment="1" applyProtection="1">
      <alignment wrapText="1"/>
    </xf>
    <xf numFmtId="0" fontId="0" fillId="0" borderId="4" xfId="0" applyFont="1" applyBorder="1" applyAlignment="1" applyProtection="1">
      <alignment horizontal="center" vertical="center" wrapText="1"/>
    </xf>
    <xf numFmtId="0" fontId="0" fillId="0" borderId="0" xfId="0" applyFont="1" applyAlignment="1" applyProtection="1">
      <alignment wrapText="1"/>
    </xf>
    <xf numFmtId="0" fontId="0" fillId="0" borderId="5" xfId="0" applyFont="1" applyBorder="1" applyAlignment="1" applyProtection="1">
      <alignment wrapText="1"/>
    </xf>
    <xf numFmtId="0" fontId="23" fillId="0" borderId="5" xfId="0" applyFont="1" applyFill="1" applyBorder="1" applyAlignment="1" applyProtection="1">
      <alignment vertical="center" wrapText="1"/>
    </xf>
    <xf numFmtId="0" fontId="22" fillId="3" borderId="13" xfId="0" applyFont="1" applyFill="1" applyBorder="1" applyAlignment="1" applyProtection="1">
      <alignment vertical="center"/>
    </xf>
    <xf numFmtId="0" fontId="22" fillId="0" borderId="0" xfId="0" applyFont="1" applyFill="1" applyBorder="1" applyAlignment="1" applyProtection="1">
      <alignment vertical="center" wrapText="1"/>
    </xf>
    <xf numFmtId="0" fontId="22" fillId="0" borderId="14" xfId="0" applyFont="1" applyFill="1" applyBorder="1" applyAlignment="1" applyProtection="1">
      <alignment vertical="center" wrapText="1"/>
    </xf>
    <xf numFmtId="0" fontId="23" fillId="0" borderId="0" xfId="0" applyFont="1" applyFill="1" applyAlignment="1" applyProtection="1">
      <alignment vertical="center" wrapText="1"/>
    </xf>
    <xf numFmtId="0" fontId="23" fillId="0" borderId="5" xfId="0" applyFont="1" applyBorder="1" applyAlignment="1" applyProtection="1">
      <alignment wrapText="1"/>
    </xf>
    <xf numFmtId="0" fontId="23" fillId="0" borderId="0" xfId="0" applyFont="1" applyAlignment="1" applyProtection="1">
      <alignment wrapText="1"/>
    </xf>
    <xf numFmtId="2" fontId="26" fillId="5" borderId="19" xfId="0" applyNumberFormat="1" applyFont="1" applyFill="1" applyBorder="1" applyAlignment="1" applyProtection="1">
      <alignment horizontal="center" vertical="center" wrapText="1"/>
    </xf>
    <xf numFmtId="0" fontId="15" fillId="0" borderId="20" xfId="0" applyFont="1" applyFill="1" applyBorder="1" applyAlignment="1" applyProtection="1">
      <alignment horizontal="left" vertical="center" wrapText="1"/>
    </xf>
    <xf numFmtId="0" fontId="23" fillId="0" borderId="0" xfId="0" applyFont="1" applyAlignment="1" applyProtection="1">
      <alignment horizontal="center" vertical="center" wrapText="1"/>
    </xf>
    <xf numFmtId="0" fontId="26" fillId="0" borderId="0" xfId="0" applyFont="1" applyAlignment="1" applyProtection="1">
      <alignment wrapText="1"/>
    </xf>
    <xf numFmtId="0" fontId="26" fillId="0" borderId="0" xfId="0" applyFont="1" applyAlignment="1" applyProtection="1">
      <alignment horizontal="center" vertical="center" wrapText="1"/>
    </xf>
    <xf numFmtId="0" fontId="5" fillId="0" borderId="0" xfId="0" applyFont="1" applyAlignment="1" applyProtection="1">
      <alignment wrapText="1"/>
    </xf>
    <xf numFmtId="0" fontId="0" fillId="0" borderId="4" xfId="0" applyFont="1" applyBorder="1" applyAlignment="1" applyProtection="1">
      <alignment horizontal="center" wrapText="1"/>
    </xf>
    <xf numFmtId="0" fontId="22" fillId="6" borderId="15" xfId="0" applyFont="1" applyFill="1" applyBorder="1" applyAlignment="1" applyProtection="1">
      <alignment horizontal="left" vertical="center"/>
    </xf>
    <xf numFmtId="0" fontId="22" fillId="0" borderId="0"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6" fillId="0" borderId="5" xfId="0" applyFont="1" applyBorder="1" applyAlignment="1" applyProtection="1">
      <alignment wrapText="1"/>
    </xf>
    <xf numFmtId="0" fontId="26" fillId="0" borderId="15" xfId="0" applyFont="1" applyBorder="1" applyAlignment="1" applyProtection="1">
      <alignment horizontal="left" vertical="center" wrapText="1"/>
    </xf>
    <xf numFmtId="0" fontId="15" fillId="0" borderId="0" xfId="0" applyFont="1" applyFill="1" applyBorder="1" applyAlignment="1" applyProtection="1">
      <alignment horizontal="center" vertical="center" wrapText="1"/>
    </xf>
    <xf numFmtId="0" fontId="15" fillId="5" borderId="0" xfId="0" applyFont="1" applyFill="1" applyBorder="1" applyAlignment="1" applyProtection="1">
      <alignment horizontal="center" vertical="center" wrapText="1"/>
    </xf>
    <xf numFmtId="1" fontId="15" fillId="0" borderId="0" xfId="0" applyNumberFormat="1" applyFont="1" applyFill="1" applyBorder="1" applyAlignment="1" applyProtection="1">
      <alignment horizontal="center" vertical="center" wrapText="1"/>
    </xf>
    <xf numFmtId="2" fontId="22" fillId="0" borderId="0" xfId="0" applyNumberFormat="1" applyFont="1" applyFill="1" applyBorder="1" applyAlignment="1" applyProtection="1">
      <alignment horizontal="center" vertical="center" wrapText="1"/>
    </xf>
    <xf numFmtId="0" fontId="22" fillId="6" borderId="0" xfId="0" applyFont="1" applyFill="1" applyBorder="1" applyAlignment="1" applyProtection="1">
      <alignment horizontal="left" vertical="center"/>
    </xf>
    <xf numFmtId="2" fontId="15" fillId="5" borderId="0" xfId="0" applyNumberFormat="1" applyFont="1" applyFill="1" applyBorder="1" applyAlignment="1" applyProtection="1">
      <alignment horizontal="center" vertical="center" wrapText="1"/>
    </xf>
    <xf numFmtId="1" fontId="15" fillId="0" borderId="0" xfId="1" applyNumberFormat="1"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2" fontId="22" fillId="0" borderId="19" xfId="3" applyNumberFormat="1" applyFont="1" applyFill="1" applyBorder="1" applyAlignment="1" applyProtection="1">
      <alignment horizontal="center" vertical="center" wrapText="1" readingOrder="1"/>
    </xf>
    <xf numFmtId="0" fontId="23" fillId="0" borderId="0" xfId="0" applyFont="1" applyAlignment="1" applyProtection="1">
      <alignment horizontal="center" wrapText="1"/>
    </xf>
    <xf numFmtId="0" fontId="0" fillId="0" borderId="0" xfId="0" applyFont="1" applyAlignment="1" applyProtection="1">
      <alignment horizontal="center" wrapText="1"/>
    </xf>
    <xf numFmtId="0" fontId="13" fillId="0" borderId="0" xfId="0" applyFont="1" applyAlignment="1" applyProtection="1">
      <alignment vertical="center" wrapText="1"/>
    </xf>
    <xf numFmtId="0" fontId="13" fillId="0" borderId="0" xfId="0" applyFont="1" applyAlignment="1" applyProtection="1">
      <alignment horizontal="center" vertical="center" wrapText="1"/>
    </xf>
    <xf numFmtId="0" fontId="22" fillId="3" borderId="15" xfId="0" applyFont="1" applyFill="1" applyBorder="1" applyAlignment="1" applyProtection="1">
      <alignment vertical="center" wrapText="1"/>
    </xf>
    <xf numFmtId="0" fontId="21" fillId="0" borderId="0" xfId="0" applyFont="1" applyFill="1" applyBorder="1" applyAlignment="1" applyProtection="1">
      <alignment horizontal="center" vertical="center" wrapText="1"/>
    </xf>
    <xf numFmtId="0" fontId="21" fillId="0" borderId="14" xfId="0" applyFont="1" applyFill="1" applyBorder="1" applyAlignment="1" applyProtection="1">
      <alignment horizontal="center" vertical="center" wrapText="1"/>
    </xf>
    <xf numFmtId="0" fontId="23" fillId="0" borderId="15" xfId="0" applyFont="1" applyFill="1" applyBorder="1" applyAlignment="1" applyProtection="1">
      <alignment vertical="center" wrapText="1"/>
    </xf>
    <xf numFmtId="0" fontId="15" fillId="0" borderId="14" xfId="3" applyNumberFormat="1" applyFont="1" applyFill="1" applyBorder="1" applyAlignment="1" applyProtection="1">
      <alignment horizontal="left" vertical="center" wrapText="1"/>
    </xf>
    <xf numFmtId="0" fontId="23" fillId="0" borderId="15" xfId="0" applyFont="1" applyBorder="1" applyAlignment="1" applyProtection="1">
      <alignment vertical="center" wrapText="1"/>
    </xf>
    <xf numFmtId="9" fontId="15" fillId="0" borderId="14" xfId="1" applyFont="1" applyFill="1" applyBorder="1" applyAlignment="1" applyProtection="1">
      <alignment horizontal="left" vertical="center" wrapText="1"/>
    </xf>
    <xf numFmtId="3" fontId="15" fillId="0" borderId="0" xfId="3" applyNumberFormat="1" applyFont="1" applyFill="1" applyBorder="1" applyAlignment="1" applyProtection="1">
      <alignment horizontal="center" vertical="center" wrapText="1"/>
    </xf>
    <xf numFmtId="3" fontId="15" fillId="0" borderId="14" xfId="3" applyNumberFormat="1" applyFont="1" applyFill="1" applyBorder="1" applyAlignment="1" applyProtection="1">
      <alignment horizontal="left" vertical="center" wrapText="1"/>
    </xf>
    <xf numFmtId="0" fontId="13" fillId="0" borderId="0" xfId="0" applyFont="1" applyBorder="1" applyAlignment="1" applyProtection="1">
      <alignment vertical="center" wrapText="1"/>
    </xf>
    <xf numFmtId="0" fontId="15" fillId="0" borderId="15" xfId="0" applyFont="1" applyBorder="1" applyAlignment="1" applyProtection="1">
      <alignment horizontal="right" vertical="center" wrapText="1"/>
    </xf>
    <xf numFmtId="9" fontId="15" fillId="0" borderId="14" xfId="1" applyFont="1" applyFill="1" applyBorder="1" applyAlignment="1" applyProtection="1">
      <alignment horizontal="center" vertical="center" wrapText="1"/>
    </xf>
    <xf numFmtId="0" fontId="26" fillId="0" borderId="15" xfId="0" applyFont="1" applyBorder="1" applyAlignment="1" applyProtection="1">
      <alignment vertical="center" wrapText="1"/>
    </xf>
    <xf numFmtId="3" fontId="22" fillId="0" borderId="0" xfId="3" applyNumberFormat="1" applyFont="1" applyFill="1" applyBorder="1" applyAlignment="1" applyProtection="1">
      <alignment horizontal="center" vertical="center" wrapText="1"/>
    </xf>
    <xf numFmtId="3" fontId="26" fillId="0" borderId="14" xfId="3" applyNumberFormat="1" applyFont="1" applyFill="1" applyBorder="1" applyAlignment="1" applyProtection="1">
      <alignment horizontal="center" vertical="center" wrapText="1"/>
    </xf>
    <xf numFmtId="3" fontId="15" fillId="0" borderId="14" xfId="3" applyNumberFormat="1" applyFont="1" applyFill="1" applyBorder="1" applyAlignment="1" applyProtection="1">
      <alignment horizontal="center" vertical="center" wrapText="1"/>
    </xf>
    <xf numFmtId="0" fontId="15" fillId="0" borderId="18" xfId="0" applyFont="1" applyBorder="1" applyAlignment="1" applyProtection="1">
      <alignment horizontal="right" vertical="center" wrapText="1"/>
    </xf>
    <xf numFmtId="3" fontId="22" fillId="0" borderId="19" xfId="3" applyNumberFormat="1" applyFont="1" applyFill="1" applyBorder="1" applyAlignment="1" applyProtection="1">
      <alignment horizontal="center" vertical="center" wrapText="1"/>
    </xf>
    <xf numFmtId="3" fontId="15" fillId="0" borderId="20" xfId="3" applyNumberFormat="1" applyFont="1" applyFill="1" applyBorder="1" applyAlignment="1" applyProtection="1">
      <alignment horizontal="center" vertical="center" wrapText="1"/>
    </xf>
    <xf numFmtId="0" fontId="15" fillId="0" borderId="14" xfId="0" applyFont="1" applyBorder="1" applyAlignment="1" applyProtection="1">
      <alignment vertical="center" wrapText="1"/>
    </xf>
    <xf numFmtId="0" fontId="22" fillId="2" borderId="0" xfId="0" applyFont="1" applyFill="1" applyBorder="1" applyAlignment="1" applyProtection="1">
      <alignment horizontal="left" vertical="center" wrapText="1"/>
    </xf>
    <xf numFmtId="0" fontId="22"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166" fontId="24" fillId="0" borderId="0" xfId="5" applyFont="1" applyFill="1" applyBorder="1" applyAlignment="1" applyProtection="1">
      <alignment horizontal="center" vertical="center" wrapText="1"/>
    </xf>
    <xf numFmtId="9" fontId="15" fillId="0" borderId="14" xfId="1" applyNumberFormat="1" applyFont="1" applyFill="1" applyBorder="1" applyAlignment="1" applyProtection="1">
      <alignment horizontal="center" vertical="center" wrapText="1"/>
    </xf>
    <xf numFmtId="9" fontId="15" fillId="0" borderId="0" xfId="1" applyNumberFormat="1" applyFont="1" applyFill="1" applyBorder="1" applyAlignment="1" applyProtection="1">
      <alignment horizontal="center" vertical="center"/>
    </xf>
    <xf numFmtId="9" fontId="15" fillId="0" borderId="0" xfId="1" applyNumberFormat="1" applyFont="1" applyFill="1" applyBorder="1" applyAlignment="1" applyProtection="1">
      <alignment horizontal="center" vertical="center" wrapText="1"/>
    </xf>
    <xf numFmtId="167" fontId="15" fillId="0" borderId="14" xfId="1" applyNumberFormat="1" applyFont="1" applyFill="1" applyBorder="1" applyAlignment="1" applyProtection="1">
      <alignment horizontal="center" vertical="center" wrapText="1"/>
    </xf>
    <xf numFmtId="0" fontId="24" fillId="0" borderId="15" xfId="4" applyFont="1" applyFill="1" applyBorder="1" applyAlignment="1" applyProtection="1">
      <alignment horizontal="left" vertical="center"/>
    </xf>
    <xf numFmtId="0" fontId="15" fillId="0" borderId="0" xfId="4" applyFont="1" applyFill="1" applyBorder="1" applyAlignment="1" applyProtection="1">
      <alignment horizontal="left" vertical="center" wrapText="1"/>
    </xf>
    <xf numFmtId="0" fontId="28" fillId="0" borderId="0" xfId="0" applyFont="1" applyBorder="1" applyAlignment="1" applyProtection="1">
      <alignment vertical="center" wrapText="1"/>
    </xf>
    <xf numFmtId="0" fontId="28" fillId="0" borderId="0" xfId="0" applyFont="1" applyAlignment="1" applyProtection="1">
      <alignment vertical="center" wrapText="1"/>
    </xf>
    <xf numFmtId="166" fontId="26" fillId="0" borderId="15" xfId="5" applyFont="1" applyFill="1" applyBorder="1" applyAlignment="1" applyProtection="1">
      <alignment horizontal="left" vertical="center" wrapText="1"/>
    </xf>
    <xf numFmtId="166" fontId="26" fillId="0" borderId="0" xfId="5" applyFont="1" applyFill="1" applyBorder="1" applyAlignment="1" applyProtection="1">
      <alignment horizontal="left" vertical="center" wrapText="1"/>
    </xf>
    <xf numFmtId="166" fontId="26" fillId="0" borderId="0" xfId="5" applyFont="1" applyFill="1" applyBorder="1" applyAlignment="1" applyProtection="1">
      <alignment horizontal="center" vertical="center" wrapText="1"/>
    </xf>
    <xf numFmtId="1" fontId="26" fillId="0" borderId="0" xfId="0" applyNumberFormat="1" applyFont="1" applyFill="1" applyBorder="1" applyAlignment="1" applyProtection="1">
      <alignment horizontal="center" vertical="center"/>
    </xf>
    <xf numFmtId="166" fontId="22" fillId="0" borderId="0" xfId="5" applyFont="1" applyFill="1" applyBorder="1" applyAlignment="1" applyProtection="1">
      <alignment horizontal="center" vertical="center" wrapText="1"/>
    </xf>
    <xf numFmtId="0" fontId="23" fillId="0" borderId="15" xfId="4" applyFont="1" applyFill="1" applyBorder="1" applyAlignment="1" applyProtection="1">
      <alignment horizontal="left" vertical="center"/>
    </xf>
    <xf numFmtId="9" fontId="13" fillId="0" borderId="0" xfId="1" applyFont="1" applyAlignment="1" applyProtection="1">
      <alignment vertical="center" wrapText="1"/>
    </xf>
    <xf numFmtId="0" fontId="25" fillId="0" borderId="0" xfId="3" applyNumberFormat="1" applyFont="1" applyFill="1" applyBorder="1" applyAlignment="1" applyProtection="1">
      <alignment horizontal="center" vertical="center" wrapText="1"/>
    </xf>
    <xf numFmtId="0" fontId="15" fillId="0" borderId="0" xfId="0" applyFont="1" applyBorder="1" applyAlignment="1" applyProtection="1">
      <alignment vertical="center" wrapText="1"/>
    </xf>
    <xf numFmtId="0" fontId="26" fillId="0" borderId="15" xfId="4" applyFont="1" applyFill="1" applyBorder="1" applyAlignment="1" applyProtection="1">
      <alignment horizontal="left" vertical="center"/>
    </xf>
    <xf numFmtId="0" fontId="26" fillId="5" borderId="0" xfId="4" applyFont="1" applyFill="1" applyBorder="1" applyAlignment="1" applyProtection="1">
      <alignment horizontal="left" vertical="center" wrapText="1"/>
    </xf>
    <xf numFmtId="2" fontId="26" fillId="0" borderId="0" xfId="4" applyNumberFormat="1" applyFont="1" applyFill="1" applyBorder="1" applyAlignment="1" applyProtection="1">
      <alignment horizontal="center" vertical="center" wrapText="1"/>
    </xf>
    <xf numFmtId="2" fontId="26" fillId="0" borderId="0" xfId="0" applyNumberFormat="1" applyFont="1" applyFill="1" applyBorder="1" applyAlignment="1" applyProtection="1">
      <alignment horizontal="center" vertical="center" wrapText="1"/>
    </xf>
    <xf numFmtId="0" fontId="15" fillId="0" borderId="0" xfId="0" applyFont="1" applyAlignment="1" applyProtection="1">
      <alignment vertical="center" wrapText="1"/>
    </xf>
    <xf numFmtId="0" fontId="26" fillId="5" borderId="15" xfId="4" applyFont="1" applyFill="1" applyBorder="1" applyAlignment="1" applyProtection="1">
      <alignment horizontal="left" vertical="center"/>
    </xf>
    <xf numFmtId="0" fontId="26" fillId="5" borderId="18" xfId="4" applyFont="1" applyFill="1" applyBorder="1" applyAlignment="1" applyProtection="1">
      <alignment horizontal="left" vertical="center"/>
    </xf>
    <xf numFmtId="0" fontId="26" fillId="5" borderId="19" xfId="4" applyFont="1" applyFill="1" applyBorder="1" applyAlignment="1" applyProtection="1">
      <alignment horizontal="left" vertical="center" wrapText="1"/>
    </xf>
    <xf numFmtId="0" fontId="24" fillId="5" borderId="19" xfId="4" applyFont="1" applyFill="1" applyBorder="1" applyAlignment="1" applyProtection="1">
      <alignment horizontal="center" vertical="center" wrapText="1"/>
    </xf>
    <xf numFmtId="1" fontId="26" fillId="0" borderId="19" xfId="4" applyNumberFormat="1" applyFont="1" applyFill="1" applyBorder="1" applyAlignment="1" applyProtection="1">
      <alignment horizontal="center" vertical="center" wrapText="1"/>
    </xf>
    <xf numFmtId="9" fontId="15" fillId="0" borderId="20" xfId="1" applyNumberFormat="1" applyFont="1" applyFill="1" applyBorder="1" applyAlignment="1" applyProtection="1">
      <alignment horizontal="center" vertical="center" wrapText="1"/>
    </xf>
    <xf numFmtId="0" fontId="24" fillId="0" borderId="0" xfId="0" applyFont="1" applyProtection="1"/>
    <xf numFmtId="0" fontId="24" fillId="0" borderId="0" xfId="0" applyFont="1" applyAlignment="1" applyProtection="1">
      <alignment vertical="center"/>
    </xf>
    <xf numFmtId="0" fontId="22" fillId="3" borderId="3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29" xfId="0" applyFont="1" applyFill="1" applyBorder="1" applyAlignment="1" applyProtection="1">
      <alignment vertical="center" wrapText="1"/>
    </xf>
    <xf numFmtId="0" fontId="22" fillId="2" borderId="28" xfId="0" applyFont="1" applyFill="1" applyBorder="1" applyAlignment="1" applyProtection="1">
      <alignment horizontal="left" vertical="center" wrapText="1"/>
    </xf>
    <xf numFmtId="0" fontId="22" fillId="2" borderId="29" xfId="0" applyFont="1" applyFill="1" applyBorder="1" applyAlignment="1" applyProtection="1">
      <alignment horizontal="center" vertical="center"/>
    </xf>
    <xf numFmtId="0" fontId="23" fillId="0" borderId="28" xfId="0" applyFont="1" applyBorder="1" applyAlignment="1" applyProtection="1">
      <alignment horizontal="left" vertical="center" wrapText="1"/>
    </xf>
    <xf numFmtId="0" fontId="15" fillId="0" borderId="0" xfId="0" applyFont="1" applyBorder="1" applyAlignment="1" applyProtection="1">
      <alignment horizontal="center" vertical="center"/>
    </xf>
    <xf numFmtId="1" fontId="15" fillId="0" borderId="29" xfId="0" applyNumberFormat="1" applyFont="1" applyBorder="1" applyAlignment="1" applyProtection="1">
      <alignment horizontal="center" vertical="center"/>
    </xf>
    <xf numFmtId="0" fontId="27" fillId="0" borderId="0" xfId="0" applyFont="1" applyFill="1" applyBorder="1" applyAlignment="1" applyProtection="1">
      <alignment horizontal="left" vertical="center" wrapText="1"/>
    </xf>
    <xf numFmtId="0" fontId="24" fillId="0" borderId="0" xfId="0" applyFont="1" applyAlignment="1" applyProtection="1">
      <alignment horizontal="left" vertical="center"/>
    </xf>
    <xf numFmtId="0" fontId="15" fillId="0" borderId="2" xfId="3" applyNumberFormat="1" applyFont="1" applyFill="1" applyBorder="1" applyAlignment="1" applyProtection="1">
      <alignment horizontal="center" vertical="center" wrapText="1"/>
    </xf>
    <xf numFmtId="0" fontId="26" fillId="0" borderId="28" xfId="0" applyFont="1" applyBorder="1" applyAlignment="1" applyProtection="1">
      <alignment horizontal="left" vertical="center" wrapText="1"/>
    </xf>
    <xf numFmtId="1" fontId="22" fillId="0" borderId="0" xfId="0" applyNumberFormat="1" applyFont="1" applyBorder="1" applyAlignment="1" applyProtection="1">
      <alignment horizontal="center" vertical="center"/>
    </xf>
    <xf numFmtId="1" fontId="22" fillId="0" borderId="29" xfId="0" applyNumberFormat="1" applyFont="1" applyBorder="1" applyAlignment="1" applyProtection="1">
      <alignment horizontal="center" vertical="center"/>
    </xf>
    <xf numFmtId="0" fontId="23" fillId="0" borderId="0" xfId="0" applyFont="1" applyAlignment="1" applyProtection="1">
      <alignment horizontal="left" vertical="center"/>
    </xf>
    <xf numFmtId="165" fontId="15" fillId="0" borderId="29" xfId="0" applyNumberFormat="1" applyFont="1" applyFill="1" applyBorder="1" applyAlignment="1" applyProtection="1">
      <alignment horizontal="center" vertical="center"/>
    </xf>
    <xf numFmtId="0" fontId="26" fillId="0" borderId="30" xfId="0" applyFont="1" applyBorder="1" applyAlignment="1" applyProtection="1">
      <alignment horizontal="left" vertical="center" wrapText="1"/>
    </xf>
    <xf numFmtId="0" fontId="15" fillId="0" borderId="31" xfId="0" applyFont="1" applyBorder="1" applyAlignment="1" applyProtection="1">
      <alignment horizontal="center" vertical="center"/>
    </xf>
    <xf numFmtId="0" fontId="24" fillId="0" borderId="0" xfId="0" applyFont="1" applyFill="1" applyProtection="1"/>
    <xf numFmtId="10" fontId="24" fillId="0" borderId="0" xfId="1" applyNumberFormat="1" applyFont="1" applyFill="1" applyProtection="1"/>
    <xf numFmtId="0" fontId="13" fillId="0" borderId="0" xfId="0" applyFont="1" applyAlignment="1" applyProtection="1">
      <alignment horizontal="left" vertical="center" wrapText="1"/>
    </xf>
    <xf numFmtId="0" fontId="13" fillId="0" borderId="0" xfId="0" applyFont="1" applyAlignment="1" applyProtection="1">
      <alignment horizontal="center" vertical="center"/>
    </xf>
    <xf numFmtId="0" fontId="13" fillId="0" borderId="0" xfId="0" applyFont="1" applyProtection="1"/>
    <xf numFmtId="0" fontId="22" fillId="2" borderId="0" xfId="0" applyFont="1" applyFill="1" applyAlignment="1" applyProtection="1">
      <alignment horizontal="center" vertical="center"/>
    </xf>
    <xf numFmtId="0" fontId="23" fillId="0" borderId="16" xfId="0" applyFont="1" applyBorder="1" applyAlignment="1" applyProtection="1">
      <alignment horizontal="left" vertical="center" wrapText="1"/>
    </xf>
    <xf numFmtId="0" fontId="15" fillId="0" borderId="2" xfId="0" applyFont="1" applyBorder="1" applyAlignment="1" applyProtection="1">
      <alignment horizontal="center" vertical="center"/>
    </xf>
    <xf numFmtId="0" fontId="15" fillId="0" borderId="17" xfId="3" applyNumberFormat="1" applyFont="1" applyBorder="1" applyAlignment="1" applyProtection="1">
      <alignment vertical="center" wrapText="1"/>
    </xf>
    <xf numFmtId="0" fontId="15" fillId="0" borderId="17" xfId="0" applyFont="1" applyBorder="1" applyAlignment="1" applyProtection="1">
      <alignment vertical="center"/>
    </xf>
    <xf numFmtId="0" fontId="30" fillId="0" borderId="18" xfId="0" applyFont="1" applyBorder="1" applyAlignment="1" applyProtection="1">
      <alignment horizontal="left" vertical="center" wrapText="1"/>
    </xf>
    <xf numFmtId="0" fontId="12" fillId="0" borderId="19" xfId="0" applyFont="1" applyBorder="1" applyAlignment="1" applyProtection="1">
      <alignment horizontal="center" vertical="center"/>
    </xf>
    <xf numFmtId="0" fontId="26" fillId="0" borderId="19" xfId="0" applyFont="1" applyBorder="1" applyAlignment="1" applyProtection="1">
      <alignment horizontal="center" vertical="center"/>
    </xf>
    <xf numFmtId="0" fontId="31" fillId="0" borderId="20" xfId="0" applyFont="1" applyBorder="1" applyAlignment="1" applyProtection="1">
      <alignment vertical="center"/>
    </xf>
    <xf numFmtId="0" fontId="20" fillId="0" borderId="0" xfId="0" applyFont="1" applyProtection="1"/>
    <xf numFmtId="0" fontId="22" fillId="3" borderId="28" xfId="0" applyFont="1" applyFill="1" applyBorder="1" applyAlignment="1" applyProtection="1">
      <alignment vertical="center"/>
    </xf>
    <xf numFmtId="0" fontId="22" fillId="3" borderId="0" xfId="0" applyFont="1" applyFill="1" applyAlignment="1" applyProtection="1">
      <alignment vertical="center"/>
    </xf>
    <xf numFmtId="0" fontId="22" fillId="0" borderId="0" xfId="0" applyFont="1" applyAlignment="1" applyProtection="1">
      <alignment vertical="center" wrapText="1"/>
    </xf>
    <xf numFmtId="0" fontId="27" fillId="0" borderId="0" xfId="0" applyFont="1" applyAlignment="1" applyProtection="1">
      <alignment vertical="center" wrapText="1"/>
    </xf>
    <xf numFmtId="0" fontId="20" fillId="0" borderId="29" xfId="0" applyFont="1" applyBorder="1" applyProtection="1"/>
    <xf numFmtId="0" fontId="32" fillId="0" borderId="0" xfId="0" applyFont="1" applyProtection="1"/>
    <xf numFmtId="0" fontId="22" fillId="2" borderId="40" xfId="0" applyFont="1" applyFill="1" applyBorder="1" applyAlignment="1" applyProtection="1">
      <alignment horizontal="left" vertical="center"/>
    </xf>
    <xf numFmtId="0" fontId="22" fillId="2" borderId="1" xfId="0" applyFont="1" applyFill="1" applyBorder="1" applyAlignment="1" applyProtection="1">
      <alignment horizontal="center" vertical="center"/>
    </xf>
    <xf numFmtId="0" fontId="27" fillId="2" borderId="1" xfId="0" applyFont="1" applyFill="1" applyBorder="1" applyAlignment="1" applyProtection="1">
      <alignment vertical="center" wrapText="1"/>
    </xf>
    <xf numFmtId="0" fontId="20" fillId="2" borderId="1" xfId="0" applyFont="1" applyFill="1" applyBorder="1" applyProtection="1"/>
    <xf numFmtId="0" fontId="24" fillId="2" borderId="1" xfId="0" applyFont="1" applyFill="1" applyBorder="1" applyProtection="1"/>
    <xf numFmtId="0" fontId="20" fillId="2" borderId="48" xfId="0" applyFont="1" applyFill="1" applyBorder="1" applyProtection="1"/>
    <xf numFmtId="0" fontId="0" fillId="0" borderId="28" xfId="0" applyFont="1" applyBorder="1" applyAlignment="1" applyProtection="1">
      <alignment vertical="center"/>
    </xf>
    <xf numFmtId="0" fontId="0" fillId="0" borderId="38" xfId="0" applyFont="1" applyBorder="1" applyProtection="1"/>
    <xf numFmtId="0" fontId="20" fillId="0" borderId="33" xfId="0" applyFont="1" applyBorder="1" applyProtection="1"/>
    <xf numFmtId="0" fontId="0" fillId="0" borderId="28" xfId="0" applyFont="1" applyBorder="1" applyProtection="1"/>
    <xf numFmtId="0" fontId="0" fillId="0" borderId="29" xfId="0" applyFont="1" applyBorder="1" applyProtection="1"/>
    <xf numFmtId="0" fontId="27" fillId="2" borderId="40"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41" xfId="0" applyFont="1" applyFill="1" applyBorder="1" applyAlignment="1" applyProtection="1">
      <alignment horizontal="center" vertical="center" wrapText="1"/>
    </xf>
    <xf numFmtId="0" fontId="33" fillId="2" borderId="28" xfId="0" applyFont="1" applyFill="1" applyBorder="1" applyAlignment="1" applyProtection="1">
      <alignment horizontal="center" vertical="center"/>
    </xf>
    <xf numFmtId="0" fontId="33" fillId="2" borderId="0" xfId="0" applyFont="1" applyFill="1" applyAlignment="1" applyProtection="1">
      <alignment horizontal="center" vertical="center"/>
    </xf>
    <xf numFmtId="0" fontId="33" fillId="2" borderId="36" xfId="0" applyFont="1" applyFill="1" applyBorder="1" applyAlignment="1" applyProtection="1">
      <alignment horizontal="center" vertical="center"/>
    </xf>
    <xf numFmtId="1" fontId="15" fillId="0" borderId="28" xfId="0" applyNumberFormat="1" applyFont="1" applyBorder="1" applyAlignment="1" applyProtection="1">
      <alignment horizontal="center" vertical="center"/>
    </xf>
    <xf numFmtId="1" fontId="24" fillId="0" borderId="0" xfId="0" applyNumberFormat="1" applyFont="1" applyAlignment="1" applyProtection="1">
      <alignment horizontal="center"/>
    </xf>
    <xf numFmtId="0" fontId="24" fillId="0" borderId="0" xfId="0" applyFont="1" applyAlignment="1" applyProtection="1">
      <alignment horizontal="center"/>
    </xf>
    <xf numFmtId="1" fontId="27" fillId="0" borderId="36" xfId="0" applyNumberFormat="1" applyFont="1" applyBorder="1" applyAlignment="1" applyProtection="1">
      <alignment horizontal="center"/>
    </xf>
    <xf numFmtId="0" fontId="15" fillId="0" borderId="28" xfId="0" applyFont="1" applyBorder="1" applyAlignment="1" applyProtection="1">
      <alignment horizontal="center" vertical="center"/>
    </xf>
    <xf numFmtId="0" fontId="15" fillId="0" borderId="38" xfId="0" applyFont="1" applyBorder="1" applyAlignment="1" applyProtection="1">
      <alignment horizontal="center" vertical="center"/>
    </xf>
    <xf numFmtId="1" fontId="24" fillId="0" borderId="33" xfId="0" applyNumberFormat="1" applyFont="1" applyBorder="1" applyAlignment="1" applyProtection="1">
      <alignment horizontal="center"/>
    </xf>
    <xf numFmtId="0" fontId="24" fillId="0" borderId="33" xfId="0" applyFont="1" applyBorder="1" applyAlignment="1" applyProtection="1">
      <alignment horizontal="center"/>
    </xf>
    <xf numFmtId="1" fontId="27" fillId="0" borderId="43" xfId="0" applyNumberFormat="1" applyFont="1" applyBorder="1" applyAlignment="1" applyProtection="1">
      <alignment horizontal="center"/>
    </xf>
    <xf numFmtId="0" fontId="20" fillId="0" borderId="44" xfId="0" applyFont="1" applyBorder="1" applyProtection="1"/>
    <xf numFmtId="0" fontId="20" fillId="0" borderId="31" xfId="0" applyFont="1" applyBorder="1" applyProtection="1"/>
    <xf numFmtId="0" fontId="20" fillId="0" borderId="32" xfId="0" applyFont="1" applyBorder="1" applyProtection="1"/>
    <xf numFmtId="0" fontId="20" fillId="0" borderId="26" xfId="0" applyFont="1" applyBorder="1" applyProtection="1"/>
    <xf numFmtId="0" fontId="20" fillId="0" borderId="0" xfId="0" applyFont="1" applyBorder="1" applyProtection="1"/>
    <xf numFmtId="0" fontId="20" fillId="2" borderId="46"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36" xfId="0" applyFont="1" applyFill="1" applyBorder="1" applyAlignment="1" applyProtection="1">
      <alignment horizontal="center" vertical="center" wrapText="1"/>
    </xf>
    <xf numFmtId="0" fontId="20" fillId="0" borderId="0" xfId="0" applyFont="1" applyAlignment="1" applyProtection="1">
      <alignment vertical="center" wrapText="1"/>
    </xf>
    <xf numFmtId="0" fontId="20" fillId="0" borderId="46" xfId="0" applyFont="1" applyBorder="1" applyAlignment="1" applyProtection="1">
      <alignment horizontal="center" vertical="center"/>
    </xf>
    <xf numFmtId="0" fontId="20" fillId="0" borderId="0" xfId="0" applyFont="1" applyBorder="1" applyAlignment="1" applyProtection="1">
      <alignment horizontal="center" vertical="center"/>
    </xf>
    <xf numFmtId="1" fontId="20" fillId="0" borderId="0" xfId="0" applyNumberFormat="1" applyFont="1" applyBorder="1" applyAlignment="1" applyProtection="1">
      <alignment horizontal="center" vertical="center"/>
    </xf>
    <xf numFmtId="0" fontId="20" fillId="0" borderId="36" xfId="0" applyFont="1" applyBorder="1" applyAlignment="1" applyProtection="1">
      <alignment horizontal="center" vertical="center"/>
    </xf>
    <xf numFmtId="0" fontId="20" fillId="0" borderId="47" xfId="0" applyFont="1" applyBorder="1" applyAlignment="1" applyProtection="1">
      <alignment horizontal="center" vertical="center"/>
    </xf>
    <xf numFmtId="0" fontId="20" fillId="0" borderId="33" xfId="0" applyFont="1" applyBorder="1" applyAlignment="1" applyProtection="1">
      <alignment horizontal="center" vertical="center"/>
    </xf>
    <xf numFmtId="1" fontId="20" fillId="0" borderId="33" xfId="0" applyNumberFormat="1" applyFont="1" applyBorder="1" applyAlignment="1" applyProtection="1">
      <alignment horizontal="center" vertical="center"/>
    </xf>
    <xf numFmtId="0" fontId="20" fillId="0" borderId="43" xfId="0" applyFont="1" applyBorder="1" applyAlignment="1" applyProtection="1">
      <alignment horizontal="center" vertical="center"/>
    </xf>
    <xf numFmtId="0" fontId="20" fillId="0" borderId="0" xfId="0" applyFont="1" applyAlignment="1" applyProtection="1">
      <alignment vertical="center"/>
    </xf>
    <xf numFmtId="1" fontId="22" fillId="0" borderId="0" xfId="0" applyNumberFormat="1" applyFont="1" applyFill="1" applyBorder="1" applyAlignment="1" applyProtection="1">
      <alignment horizontal="center" vertical="center" wrapText="1"/>
    </xf>
    <xf numFmtId="0" fontId="15" fillId="0" borderId="14" xfId="0" applyFont="1" applyBorder="1" applyAlignment="1" applyProtection="1">
      <alignment vertical="center"/>
    </xf>
    <xf numFmtId="0" fontId="15" fillId="5" borderId="0" xfId="0" applyFont="1" applyFill="1" applyBorder="1" applyAlignment="1" applyProtection="1">
      <alignment vertical="center" wrapText="1"/>
    </xf>
    <xf numFmtId="0" fontId="32" fillId="0" borderId="0" xfId="0" applyFont="1" applyAlignment="1" applyProtection="1">
      <alignment vertical="center"/>
    </xf>
    <xf numFmtId="0" fontId="22" fillId="2" borderId="15" xfId="0" applyFont="1" applyFill="1" applyBorder="1" applyAlignment="1" applyProtection="1">
      <alignment horizontal="left" vertical="center"/>
    </xf>
    <xf numFmtId="0" fontId="15" fillId="0" borderId="15" xfId="0" applyFont="1" applyBorder="1" applyAlignment="1" applyProtection="1">
      <alignment vertical="center" wrapText="1"/>
    </xf>
    <xf numFmtId="0" fontId="20" fillId="0" borderId="0" xfId="0" applyFont="1" applyAlignment="1" applyProtection="1">
      <alignment horizontal="center" vertical="center"/>
    </xf>
    <xf numFmtId="0" fontId="15" fillId="0" borderId="14" xfId="0" applyFont="1" applyFill="1" applyBorder="1" applyAlignment="1" applyProtection="1">
      <alignment vertical="center" wrapText="1"/>
    </xf>
    <xf numFmtId="0" fontId="15" fillId="0" borderId="15" xfId="0" applyFont="1" applyFill="1" applyBorder="1" applyAlignment="1" applyProtection="1">
      <alignment vertical="center" wrapText="1"/>
    </xf>
    <xf numFmtId="0" fontId="34" fillId="0" borderId="14" xfId="0" applyFont="1" applyBorder="1" applyAlignment="1" applyProtection="1">
      <alignment vertical="center"/>
    </xf>
    <xf numFmtId="0" fontId="15" fillId="0" borderId="18" xfId="0" applyFont="1" applyFill="1" applyBorder="1" applyAlignment="1" applyProtection="1">
      <alignment vertical="center" wrapText="1"/>
    </xf>
    <xf numFmtId="1" fontId="22" fillId="0" borderId="19" xfId="0" applyNumberFormat="1" applyFont="1" applyFill="1" applyBorder="1" applyAlignment="1" applyProtection="1">
      <alignment horizontal="center" vertical="center" wrapText="1"/>
    </xf>
    <xf numFmtId="0" fontId="15" fillId="0" borderId="20" xfId="0" applyFont="1" applyBorder="1" applyAlignment="1" applyProtection="1">
      <alignment vertical="center"/>
    </xf>
    <xf numFmtId="0" fontId="13" fillId="0" borderId="0" xfId="0" applyFont="1" applyBorder="1" applyProtection="1"/>
    <xf numFmtId="0" fontId="22" fillId="0" borderId="0" xfId="0" applyFont="1" applyFill="1" applyBorder="1" applyAlignment="1" applyProtection="1">
      <alignment vertical="center"/>
    </xf>
    <xf numFmtId="0" fontId="15" fillId="0" borderId="29" xfId="0" applyFont="1" applyBorder="1" applyAlignment="1" applyProtection="1">
      <alignment horizontal="center" vertical="center"/>
    </xf>
    <xf numFmtId="0" fontId="0" fillId="0" borderId="0" xfId="0" applyFont="1" applyAlignment="1" applyProtection="1">
      <alignment vertical="center"/>
    </xf>
    <xf numFmtId="0" fontId="22" fillId="2" borderId="28" xfId="0" applyFont="1" applyFill="1" applyBorder="1" applyAlignment="1" applyProtection="1">
      <alignment horizontal="center" vertical="top" wrapText="1"/>
    </xf>
    <xf numFmtId="0" fontId="22" fillId="2" borderId="0" xfId="0" applyFont="1" applyFill="1" applyBorder="1" applyAlignment="1" applyProtection="1">
      <alignment horizontal="center" vertical="top" wrapText="1"/>
    </xf>
    <xf numFmtId="0" fontId="22" fillId="2" borderId="29" xfId="0" applyFont="1" applyFill="1" applyBorder="1" applyAlignment="1" applyProtection="1">
      <alignment horizontal="center" vertical="top" wrapText="1"/>
    </xf>
    <xf numFmtId="0" fontId="35" fillId="0" borderId="0" xfId="0" applyFont="1" applyAlignment="1" applyProtection="1">
      <alignment horizontal="center" vertical="center"/>
    </xf>
    <xf numFmtId="0" fontId="35"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24" fillId="8" borderId="28" xfId="0" applyFont="1" applyFill="1" applyBorder="1" applyAlignment="1" applyProtection="1">
      <alignment horizontal="center" vertical="center"/>
    </xf>
    <xf numFmtId="0" fontId="24" fillId="8" borderId="0" xfId="0" applyFont="1" applyFill="1" applyBorder="1" applyAlignment="1" applyProtection="1">
      <alignment horizontal="center" vertical="center" wrapText="1"/>
    </xf>
    <xf numFmtId="0" fontId="24" fillId="8" borderId="29" xfId="0" applyFont="1" applyFill="1" applyBorder="1" applyAlignment="1" applyProtection="1">
      <alignment horizontal="center" vertical="center" wrapText="1"/>
    </xf>
    <xf numFmtId="0" fontId="36" fillId="0" borderId="0" xfId="0" applyFont="1" applyProtection="1"/>
    <xf numFmtId="2" fontId="35" fillId="0" borderId="0" xfId="0" applyNumberFormat="1" applyFont="1" applyBorder="1" applyProtection="1"/>
    <xf numFmtId="0" fontId="15" fillId="0" borderId="28" xfId="0" applyFont="1" applyBorder="1" applyAlignment="1" applyProtection="1">
      <alignment horizontal="left" vertical="center"/>
    </xf>
    <xf numFmtId="1" fontId="15" fillId="0" borderId="0" xfId="0" applyNumberFormat="1" applyFont="1" applyBorder="1" applyAlignment="1" applyProtection="1">
      <alignment horizontal="center" vertical="center" wrapText="1"/>
    </xf>
    <xf numFmtId="0" fontId="15" fillId="0" borderId="0" xfId="0" applyFont="1" applyFill="1" applyBorder="1" applyAlignment="1" applyProtection="1">
      <alignment horizontal="center" vertical="center"/>
    </xf>
    <xf numFmtId="2" fontId="15" fillId="0" borderId="0" xfId="0" applyNumberFormat="1" applyFont="1" applyBorder="1" applyAlignment="1" applyProtection="1">
      <alignment horizontal="center" vertical="center" wrapText="1"/>
    </xf>
    <xf numFmtId="1" fontId="15" fillId="0" borderId="29" xfId="0" applyNumberFormat="1" applyFont="1" applyFill="1" applyBorder="1" applyAlignment="1" applyProtection="1">
      <alignment horizontal="center" vertical="center" wrapText="1"/>
    </xf>
    <xf numFmtId="0" fontId="15" fillId="0" borderId="28" xfId="0" applyFont="1" applyBorder="1" applyAlignment="1" applyProtection="1">
      <alignment horizontal="right" vertical="center"/>
    </xf>
    <xf numFmtId="2" fontId="6" fillId="0" borderId="0" xfId="0" applyNumberFormat="1" applyFont="1" applyProtection="1"/>
    <xf numFmtId="0" fontId="22" fillId="0" borderId="0" xfId="0" applyFont="1" applyFill="1" applyBorder="1" applyAlignment="1" applyProtection="1">
      <alignment horizontal="center" vertical="center"/>
    </xf>
    <xf numFmtId="0" fontId="15" fillId="0" borderId="38" xfId="0" applyFont="1" applyBorder="1" applyAlignment="1" applyProtection="1">
      <alignment horizontal="left" vertical="center"/>
    </xf>
    <xf numFmtId="1" fontId="22" fillId="0" borderId="33" xfId="0" applyNumberFormat="1" applyFont="1" applyFill="1" applyBorder="1" applyAlignment="1" applyProtection="1">
      <alignment horizontal="center" vertical="center" wrapText="1"/>
    </xf>
    <xf numFmtId="0" fontId="15" fillId="0" borderId="33" xfId="0" applyFont="1" applyBorder="1" applyAlignment="1" applyProtection="1">
      <alignment horizontal="center" vertical="center"/>
    </xf>
    <xf numFmtId="0" fontId="0" fillId="0" borderId="33" xfId="0" applyFont="1" applyBorder="1" applyProtection="1"/>
    <xf numFmtId="1" fontId="22" fillId="0" borderId="39" xfId="0" applyNumberFormat="1" applyFont="1" applyFill="1" applyBorder="1" applyAlignment="1" applyProtection="1">
      <alignment horizontal="center" vertical="center" wrapText="1"/>
    </xf>
    <xf numFmtId="0" fontId="6" fillId="0" borderId="0" xfId="0" applyFont="1" applyProtection="1"/>
    <xf numFmtId="2" fontId="13" fillId="0" borderId="0" xfId="0" applyNumberFormat="1" applyFont="1" applyBorder="1" applyProtection="1"/>
    <xf numFmtId="0" fontId="15" fillId="0" borderId="28" xfId="0" applyFont="1" applyFill="1" applyBorder="1" applyAlignment="1" applyProtection="1">
      <alignment horizontal="left" vertical="center"/>
    </xf>
    <xf numFmtId="0" fontId="15" fillId="0" borderId="0" xfId="0" applyFont="1" applyBorder="1" applyProtection="1"/>
    <xf numFmtId="1" fontId="15" fillId="0" borderId="0" xfId="0" applyNumberFormat="1" applyFont="1" applyBorder="1" applyProtection="1"/>
    <xf numFmtId="0" fontId="15" fillId="0" borderId="29" xfId="0" applyFont="1" applyBorder="1" applyProtection="1"/>
    <xf numFmtId="0" fontId="15" fillId="0" borderId="28" xfId="0" applyFont="1" applyFill="1" applyBorder="1" applyAlignment="1" applyProtection="1">
      <alignment horizontal="center" vertical="center"/>
    </xf>
    <xf numFmtId="0" fontId="22" fillId="0" borderId="28" xfId="0" applyFont="1" applyBorder="1" applyAlignment="1" applyProtection="1">
      <alignment horizontal="center" vertical="center"/>
    </xf>
    <xf numFmtId="2" fontId="22" fillId="0" borderId="0" xfId="0" applyNumberFormat="1" applyFont="1" applyBorder="1" applyAlignment="1" applyProtection="1">
      <alignment horizontal="center" vertical="center"/>
    </xf>
    <xf numFmtId="0" fontId="26" fillId="0" borderId="28" xfId="0" applyFont="1" applyBorder="1" applyAlignment="1" applyProtection="1">
      <alignment horizontal="center" vertical="center"/>
    </xf>
    <xf numFmtId="0" fontId="15" fillId="0" borderId="30" xfId="0" applyFont="1" applyBorder="1" applyAlignment="1" applyProtection="1">
      <alignment horizontal="center" vertical="center" wrapText="1"/>
    </xf>
    <xf numFmtId="9" fontId="15" fillId="0" borderId="31" xfId="1" applyFont="1" applyFill="1" applyBorder="1" applyAlignment="1" applyProtection="1">
      <alignment horizontal="center" vertical="center"/>
    </xf>
    <xf numFmtId="0" fontId="15" fillId="0" borderId="31" xfId="0" applyFont="1" applyBorder="1" applyProtection="1"/>
    <xf numFmtId="0" fontId="15" fillId="0" borderId="32" xfId="0" applyFont="1" applyBorder="1" applyProtection="1"/>
    <xf numFmtId="0" fontId="0" fillId="0" borderId="0" xfId="0" applyFont="1" applyBorder="1" applyProtection="1"/>
    <xf numFmtId="2" fontId="0" fillId="0" borderId="0" xfId="0" applyNumberFormat="1" applyFont="1" applyBorder="1" applyProtection="1"/>
    <xf numFmtId="0" fontId="22" fillId="0" borderId="29" xfId="0" applyFont="1" applyBorder="1" applyAlignment="1" applyProtection="1">
      <alignment horizontal="left" vertical="center" wrapText="1"/>
    </xf>
    <xf numFmtId="0" fontId="0" fillId="2" borderId="0" xfId="0" applyFont="1" applyFill="1" applyAlignment="1" applyProtection="1">
      <alignment vertical="center"/>
    </xf>
    <xf numFmtId="0" fontId="0" fillId="2" borderId="0" xfId="0" applyFont="1" applyFill="1" applyAlignment="1" applyProtection="1">
      <alignment horizontal="center" vertical="center"/>
    </xf>
    <xf numFmtId="0" fontId="0" fillId="2" borderId="0" xfId="0" applyFont="1" applyFill="1" applyAlignment="1" applyProtection="1">
      <alignment horizontal="center" vertical="center" wrapText="1"/>
    </xf>
    <xf numFmtId="0" fontId="13" fillId="2" borderId="0" xfId="0" applyFont="1" applyFill="1" applyAlignment="1" applyProtection="1">
      <alignment vertical="center"/>
    </xf>
    <xf numFmtId="0" fontId="13" fillId="2" borderId="0" xfId="0" applyFont="1" applyFill="1" applyAlignment="1" applyProtection="1">
      <alignment horizontal="center" vertical="center" wrapText="1"/>
    </xf>
    <xf numFmtId="0" fontId="0" fillId="2" borderId="0" xfId="0" applyFont="1" applyFill="1" applyAlignment="1" applyProtection="1">
      <alignment horizontal="center" vertical="center" wrapText="1"/>
    </xf>
    <xf numFmtId="0" fontId="7"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39" fillId="2" borderId="0" xfId="0" applyFont="1" applyFill="1" applyAlignment="1" applyProtection="1">
      <alignment horizontal="center" vertical="center" wrapText="1"/>
    </xf>
    <xf numFmtId="0" fontId="11" fillId="2" borderId="0" xfId="0" applyFont="1" applyFill="1" applyBorder="1" applyAlignment="1" applyProtection="1">
      <alignment horizontal="center" vertical="center" wrapText="1"/>
    </xf>
    <xf numFmtId="0" fontId="0" fillId="5" borderId="0" xfId="0" applyFont="1" applyFill="1" applyAlignment="1" applyProtection="1">
      <alignment horizontal="center" vertical="center" wrapText="1"/>
    </xf>
    <xf numFmtId="0" fontId="15" fillId="0" borderId="0" xfId="0" applyFont="1" applyFill="1" applyAlignment="1" applyProtection="1">
      <alignment horizontal="left" vertical="center" wrapText="1"/>
    </xf>
    <xf numFmtId="0" fontId="15" fillId="2" borderId="0" xfId="0" applyFont="1" applyFill="1" applyAlignment="1" applyProtection="1">
      <alignment horizontal="left" vertical="center" wrapText="1"/>
    </xf>
    <xf numFmtId="0" fontId="21" fillId="4" borderId="21" xfId="0" applyFont="1" applyFill="1" applyBorder="1" applyAlignment="1" applyProtection="1">
      <alignment horizontal="center" vertical="center" wrapText="1"/>
    </xf>
    <xf numFmtId="0" fontId="21" fillId="4" borderId="22" xfId="0" applyFont="1" applyFill="1" applyBorder="1" applyAlignment="1" applyProtection="1">
      <alignment horizontal="center" vertical="center" wrapText="1"/>
    </xf>
    <xf numFmtId="0" fontId="21" fillId="4" borderId="23" xfId="0" applyFont="1" applyFill="1" applyBorder="1" applyAlignment="1" applyProtection="1">
      <alignment horizontal="center" vertical="center" wrapText="1"/>
    </xf>
    <xf numFmtId="0" fontId="15" fillId="5" borderId="15" xfId="0" applyFont="1"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0" fontId="15" fillId="5" borderId="14" xfId="0" applyFont="1" applyFill="1" applyBorder="1" applyAlignment="1" applyProtection="1">
      <alignment horizontal="left" vertical="center" wrapText="1"/>
    </xf>
    <xf numFmtId="0" fontId="21" fillId="4" borderId="10" xfId="0" applyFont="1" applyFill="1" applyBorder="1" applyAlignment="1" applyProtection="1">
      <alignment horizontal="center" vertical="center" wrapText="1"/>
    </xf>
    <xf numFmtId="0" fontId="21" fillId="4" borderId="11" xfId="0" applyFont="1" applyFill="1" applyBorder="1" applyAlignment="1" applyProtection="1">
      <alignment horizontal="center" vertical="center" wrapText="1"/>
    </xf>
    <xf numFmtId="0" fontId="21" fillId="4" borderId="12" xfId="0" applyFont="1" applyFill="1" applyBorder="1" applyAlignment="1" applyProtection="1">
      <alignment horizontal="center" vertical="center" wrapText="1"/>
    </xf>
    <xf numFmtId="0" fontId="17" fillId="0" borderId="15"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4"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15" fillId="0" borderId="14" xfId="0" applyFont="1" applyFill="1" applyBorder="1" applyAlignment="1" applyProtection="1">
      <alignment horizontal="left" vertical="center" wrapText="1"/>
    </xf>
    <xf numFmtId="166" fontId="26" fillId="0" borderId="15" xfId="5" applyFont="1" applyFill="1" applyBorder="1" applyAlignment="1" applyProtection="1">
      <alignment horizontal="left" vertical="center" wrapText="1"/>
    </xf>
    <xf numFmtId="166" fontId="26" fillId="0" borderId="0" xfId="5" applyFont="1" applyFill="1" applyBorder="1" applyAlignment="1" applyProtection="1">
      <alignment horizontal="left" vertical="center" wrapText="1"/>
    </xf>
    <xf numFmtId="0" fontId="24" fillId="0" borderId="15" xfId="4" applyFont="1" applyFill="1" applyBorder="1" applyAlignment="1" applyProtection="1">
      <alignment horizontal="left" vertical="center" wrapText="1"/>
    </xf>
    <xf numFmtId="0" fontId="24" fillId="0" borderId="0" xfId="4" applyFont="1" applyFill="1" applyBorder="1" applyAlignment="1" applyProtection="1">
      <alignment horizontal="left" vertical="center" wrapText="1"/>
    </xf>
    <xf numFmtId="0" fontId="22" fillId="6" borderId="15" xfId="0" applyFont="1" applyFill="1" applyBorder="1" applyAlignment="1" applyProtection="1">
      <alignment horizontal="left" vertical="center" wrapText="1"/>
    </xf>
    <xf numFmtId="0" fontId="22" fillId="6" borderId="0" xfId="0" applyFont="1" applyFill="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14" xfId="0" applyFont="1" applyBorder="1" applyAlignment="1" applyProtection="1">
      <alignment horizontal="left" vertical="center" wrapText="1"/>
    </xf>
    <xf numFmtId="0" fontId="21" fillId="4" borderId="25" xfId="0" applyFont="1" applyFill="1" applyBorder="1" applyAlignment="1" applyProtection="1">
      <alignment horizontal="center" vertical="center" wrapText="1"/>
    </xf>
    <xf numFmtId="0" fontId="21" fillId="4" borderId="26" xfId="0" applyFont="1" applyFill="1" applyBorder="1" applyAlignment="1" applyProtection="1">
      <alignment horizontal="center" vertical="center" wrapText="1"/>
    </xf>
    <xf numFmtId="0" fontId="21" fillId="4" borderId="27" xfId="0" applyFont="1" applyFill="1" applyBorder="1" applyAlignment="1" applyProtection="1">
      <alignment horizontal="center" vertical="center" wrapText="1"/>
    </xf>
    <xf numFmtId="0" fontId="15" fillId="0" borderId="28" xfId="0" applyFont="1" applyBorder="1" applyAlignment="1" applyProtection="1">
      <alignment vertical="center" wrapText="1"/>
    </xf>
    <xf numFmtId="0" fontId="15" fillId="0" borderId="0" xfId="0" applyFont="1" applyBorder="1" applyAlignment="1" applyProtection="1">
      <alignment vertical="center" wrapText="1"/>
    </xf>
    <xf numFmtId="0" fontId="15" fillId="0" borderId="29" xfId="0" applyFont="1" applyBorder="1" applyAlignment="1" applyProtection="1">
      <alignment vertical="center" wrapText="1"/>
    </xf>
    <xf numFmtId="1" fontId="29" fillId="0" borderId="31" xfId="0" applyNumberFormat="1" applyFont="1" applyFill="1" applyBorder="1" applyAlignment="1" applyProtection="1">
      <alignment horizontal="center" vertical="center"/>
    </xf>
    <xf numFmtId="1" fontId="29" fillId="0" borderId="32" xfId="0" applyNumberFormat="1" applyFont="1" applyFill="1" applyBorder="1" applyAlignment="1" applyProtection="1">
      <alignment horizontal="center" vertical="center"/>
    </xf>
    <xf numFmtId="0" fontId="15" fillId="0" borderId="0" xfId="0" applyFont="1" applyAlignment="1" applyProtection="1">
      <alignment horizontal="left" vertical="center" wrapText="1"/>
    </xf>
    <xf numFmtId="0" fontId="15" fillId="5" borderId="28" xfId="0" applyFont="1" applyFill="1" applyBorder="1" applyAlignment="1" applyProtection="1">
      <alignment horizontal="left" vertical="center" wrapText="1"/>
    </xf>
    <xf numFmtId="0" fontId="15" fillId="5" borderId="29" xfId="0" applyFont="1" applyFill="1" applyBorder="1" applyAlignment="1" applyProtection="1">
      <alignment horizontal="left" vertical="center" wrapText="1"/>
    </xf>
    <xf numFmtId="0" fontId="4" fillId="9" borderId="45" xfId="0" applyFont="1" applyFill="1" applyBorder="1" applyAlignment="1" applyProtection="1">
      <alignment horizontal="center" vertical="center"/>
    </xf>
    <xf numFmtId="0" fontId="4" fillId="9" borderId="1" xfId="0" applyFont="1" applyFill="1" applyBorder="1" applyAlignment="1" applyProtection="1">
      <alignment horizontal="center" vertical="center"/>
    </xf>
    <xf numFmtId="0" fontId="4" fillId="9" borderId="41" xfId="0" applyFont="1" applyFill="1" applyBorder="1" applyAlignment="1" applyProtection="1">
      <alignment horizontal="center" vertical="center"/>
    </xf>
    <xf numFmtId="0" fontId="13" fillId="0" borderId="62" xfId="0" applyFont="1" applyBorder="1" applyAlignment="1" applyProtection="1">
      <alignment horizontal="left" vertical="center" wrapText="1"/>
    </xf>
    <xf numFmtId="0" fontId="13" fillId="0" borderId="0" xfId="0" applyFont="1" applyAlignment="1" applyProtection="1">
      <alignment horizontal="left" vertical="center" wrapText="1"/>
    </xf>
    <xf numFmtId="0" fontId="13" fillId="0" borderId="29" xfId="0" applyFont="1" applyBorder="1" applyAlignment="1" applyProtection="1">
      <alignment horizontal="left" vertical="center" wrapText="1"/>
    </xf>
    <xf numFmtId="0" fontId="13" fillId="0" borderId="63" xfId="0" applyFont="1" applyBorder="1" applyAlignment="1" applyProtection="1">
      <alignment horizontal="left" vertical="center" wrapText="1"/>
    </xf>
    <xf numFmtId="0" fontId="13" fillId="0" borderId="33" xfId="0" applyFont="1" applyBorder="1" applyAlignment="1" applyProtection="1">
      <alignment horizontal="left" vertical="center" wrapText="1"/>
    </xf>
    <xf numFmtId="0" fontId="13" fillId="0" borderId="39" xfId="0" applyFont="1" applyBorder="1" applyAlignment="1" applyProtection="1">
      <alignment horizontal="left" vertical="center" wrapText="1"/>
    </xf>
    <xf numFmtId="0" fontId="15" fillId="0" borderId="28" xfId="0" applyFont="1" applyBorder="1" applyAlignment="1" applyProtection="1">
      <alignment horizontal="left" vertical="center" wrapText="1"/>
    </xf>
    <xf numFmtId="0" fontId="15" fillId="0" borderId="29" xfId="0" applyFont="1" applyBorder="1" applyAlignment="1" applyProtection="1">
      <alignment horizontal="left" vertical="center" wrapText="1"/>
    </xf>
    <xf numFmtId="0" fontId="43" fillId="2" borderId="0" xfId="0" applyFont="1" applyFill="1" applyBorder="1" applyAlignment="1" applyProtection="1">
      <alignment horizontal="center" vertical="top" wrapText="1"/>
    </xf>
  </cellXfs>
  <cellStyles count="6">
    <cellStyle name="Comma" xfId="3" builtinId="3"/>
    <cellStyle name="Hyperlink" xfId="2" builtinId="8"/>
    <cellStyle name="Normal" xfId="0" builtinId="0"/>
    <cellStyle name="Normal 10 2 4" xfId="4" xr:uid="{00000000-0005-0000-0000-000003000000}"/>
    <cellStyle name="Normal_FORMATS 5 YEAR ALOKE 2" xfId="5" xr:uid="{00000000-0005-0000-0000-000004000000}"/>
    <cellStyle name="Percent" xfId="1" builtinId="5"/>
  </cellStyles>
  <dxfs count="3">
    <dxf>
      <font>
        <color rgb="FF9C0006"/>
      </font>
      <fill>
        <patternFill>
          <bgColor rgb="FFFFC7CE"/>
        </patternFill>
      </fill>
    </dxf>
    <dxf>
      <font>
        <strike val="0"/>
        <color rgb="FF00B050"/>
      </font>
    </dxf>
    <dxf>
      <font>
        <color rgb="FF9C0006"/>
      </font>
    </dxf>
  </dxfs>
  <tableStyles count="0" defaultTableStyle="TableStyleMedium2" defaultPivotStyle="PivotStyleLight16"/>
  <colors>
    <mruColors>
      <color rgb="FFDBEEF4"/>
      <color rgb="FF2A63A8"/>
      <color rgb="FFE0FFC1"/>
      <color rgb="FF558ED5"/>
      <color rgb="FFCCFF99"/>
      <color rgb="FFADE2FD"/>
      <color rgb="FFFFCC99"/>
      <color rgb="FFFFFFCC"/>
      <color rgb="FFFFCC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mn-lt"/>
              </a:defRPr>
            </a:pPr>
            <a:r>
              <a:rPr lang="en-IN" sz="1200" b="0">
                <a:solidFill>
                  <a:schemeClr val="tx1">
                    <a:lumMod val="50000"/>
                    <a:lumOff val="50000"/>
                  </a:schemeClr>
                </a:solidFill>
                <a:latin typeface="+mn-lt"/>
              </a:rPr>
              <a:t>Impact on ARR</a:t>
            </a:r>
          </a:p>
        </c:rich>
      </c:tx>
      <c:layout>
        <c:manualLayout>
          <c:xMode val="edge"/>
          <c:yMode val="edge"/>
          <c:x val="0.43550128513728531"/>
          <c:y val="1.7699115044247787E-2"/>
        </c:manualLayout>
      </c:layout>
      <c:overlay val="0"/>
    </c:title>
    <c:autoTitleDeleted val="0"/>
    <c:plotArea>
      <c:layout>
        <c:manualLayout>
          <c:layoutTarget val="inner"/>
          <c:xMode val="edge"/>
          <c:yMode val="edge"/>
          <c:x val="0.14941443688317241"/>
          <c:y val="0.16890460595080481"/>
          <c:w val="0.76334805999928745"/>
          <c:h val="0.66582305749517168"/>
        </c:manualLayout>
      </c:layout>
      <c:areaChart>
        <c:grouping val="stacked"/>
        <c:varyColors val="0"/>
        <c:ser>
          <c:idx val="2"/>
          <c:order val="0"/>
          <c:tx>
            <c:strRef>
              <c:f>'C8-Additional CAPEX'!$C$14</c:f>
              <c:strCache>
                <c:ptCount val="1"/>
                <c:pt idx="0">
                  <c:v>Return on Equity</c:v>
                </c:pt>
              </c:strCache>
            </c:strRef>
          </c:tx>
          <c:spPr>
            <a:solidFill>
              <a:schemeClr val="accent5">
                <a:lumMod val="60000"/>
                <a:lumOff val="40000"/>
              </a:schemeClr>
            </a:solidFill>
            <a:ln w="19050">
              <a:noFill/>
            </a:ln>
          </c:spPr>
          <c:val>
            <c:numRef>
              <c:f>'C8-Additional CAPEX'!$C$16:$C$35</c:f>
              <c:numCache>
                <c:formatCode>0</c:formatCode>
                <c:ptCount val="20"/>
                <c:pt idx="0">
                  <c:v>292.5</c:v>
                </c:pt>
                <c:pt idx="1">
                  <c:v>292.5</c:v>
                </c:pt>
                <c:pt idx="2">
                  <c:v>292.5</c:v>
                </c:pt>
                <c:pt idx="3">
                  <c:v>292.5</c:v>
                </c:pt>
                <c:pt idx="4">
                  <c:v>292.5</c:v>
                </c:pt>
                <c:pt idx="5">
                  <c:v>292.5</c:v>
                </c:pt>
                <c:pt idx="6">
                  <c:v>292.5</c:v>
                </c:pt>
                <c:pt idx="7">
                  <c:v>292.5</c:v>
                </c:pt>
                <c:pt idx="8">
                  <c:v>292.5</c:v>
                </c:pt>
                <c:pt idx="9">
                  <c:v>292.5</c:v>
                </c:pt>
                <c:pt idx="10">
                  <c:v>292.5</c:v>
                </c:pt>
                <c:pt idx="11">
                  <c:v>292.5</c:v>
                </c:pt>
                <c:pt idx="12">
                  <c:v>292.5</c:v>
                </c:pt>
                <c:pt idx="13">
                  <c:v>292.5</c:v>
                </c:pt>
                <c:pt idx="14">
                  <c:v>292.5</c:v>
                </c:pt>
                <c:pt idx="15">
                  <c:v>292.5</c:v>
                </c:pt>
                <c:pt idx="16">
                  <c:v>292.5</c:v>
                </c:pt>
                <c:pt idx="17">
                  <c:v>292.5</c:v>
                </c:pt>
                <c:pt idx="18">
                  <c:v>292.5</c:v>
                </c:pt>
                <c:pt idx="19">
                  <c:v>292.5</c:v>
                </c:pt>
              </c:numCache>
            </c:numRef>
          </c:val>
          <c:extLst>
            <c:ext xmlns:c16="http://schemas.microsoft.com/office/drawing/2014/chart" uri="{C3380CC4-5D6E-409C-BE32-E72D297353CC}">
              <c16:uniqueId val="{00000000-71C4-4192-A64A-AABEE8F22A93}"/>
            </c:ext>
          </c:extLst>
        </c:ser>
        <c:ser>
          <c:idx val="3"/>
          <c:order val="1"/>
          <c:tx>
            <c:strRef>
              <c:f>'C8-Additional CAPEX'!$D$14</c:f>
              <c:strCache>
                <c:ptCount val="1"/>
                <c:pt idx="0">
                  <c:v>Depreciation</c:v>
                </c:pt>
              </c:strCache>
            </c:strRef>
          </c:tx>
          <c:spPr>
            <a:solidFill>
              <a:schemeClr val="accent5">
                <a:lumMod val="20000"/>
                <a:lumOff val="80000"/>
              </a:schemeClr>
            </a:solidFill>
            <a:ln w="19050">
              <a:noFill/>
              <a:prstDash val="sysDash"/>
            </a:ln>
          </c:spPr>
          <c:val>
            <c:numRef>
              <c:f>'C8-Additional CAPEX'!$D$16:$D$35</c:f>
              <c:numCache>
                <c:formatCode>General</c:formatCode>
                <c:ptCount val="20"/>
                <c:pt idx="0">
                  <c:v>390</c:v>
                </c:pt>
                <c:pt idx="1">
                  <c:v>390</c:v>
                </c:pt>
                <c:pt idx="2">
                  <c:v>390</c:v>
                </c:pt>
                <c:pt idx="3">
                  <c:v>390</c:v>
                </c:pt>
                <c:pt idx="4">
                  <c:v>390</c:v>
                </c:pt>
                <c:pt idx="5">
                  <c:v>390</c:v>
                </c:pt>
                <c:pt idx="6">
                  <c:v>390</c:v>
                </c:pt>
                <c:pt idx="7">
                  <c:v>390</c:v>
                </c:pt>
                <c:pt idx="8">
                  <c:v>390</c:v>
                </c:pt>
                <c:pt idx="9">
                  <c:v>390</c:v>
                </c:pt>
                <c:pt idx="10">
                  <c:v>390</c:v>
                </c:pt>
                <c:pt idx="11">
                  <c:v>390</c:v>
                </c:pt>
                <c:pt idx="12">
                  <c:v>390</c:v>
                </c:pt>
                <c:pt idx="13">
                  <c:v>390</c:v>
                </c:pt>
                <c:pt idx="14">
                  <c:v>390</c:v>
                </c:pt>
                <c:pt idx="15">
                  <c:v>0</c:v>
                </c:pt>
                <c:pt idx="16">
                  <c:v>0</c:v>
                </c:pt>
                <c:pt idx="17">
                  <c:v>0</c:v>
                </c:pt>
                <c:pt idx="18">
                  <c:v>0</c:v>
                </c:pt>
                <c:pt idx="19">
                  <c:v>0</c:v>
                </c:pt>
              </c:numCache>
            </c:numRef>
          </c:val>
          <c:extLst>
            <c:ext xmlns:c16="http://schemas.microsoft.com/office/drawing/2014/chart" uri="{C3380CC4-5D6E-409C-BE32-E72D297353CC}">
              <c16:uniqueId val="{00000001-71C4-4192-A64A-AABEE8F22A93}"/>
            </c:ext>
          </c:extLst>
        </c:ser>
        <c:ser>
          <c:idx val="1"/>
          <c:order val="2"/>
          <c:tx>
            <c:strRef>
              <c:f>'C8-Additional CAPEX'!$E$14</c:f>
              <c:strCache>
                <c:ptCount val="1"/>
                <c:pt idx="0">
                  <c:v>Interest on Loan</c:v>
                </c:pt>
              </c:strCache>
            </c:strRef>
          </c:tx>
          <c:spPr>
            <a:solidFill>
              <a:schemeClr val="tx2">
                <a:lumMod val="60000"/>
                <a:lumOff val="40000"/>
              </a:schemeClr>
            </a:solidFill>
            <a:ln>
              <a:noFill/>
            </a:ln>
          </c:spPr>
          <c:val>
            <c:numRef>
              <c:f>'C8-Additional CAPEX'!$E$16:$E$35</c:f>
              <c:numCache>
                <c:formatCode>0</c:formatCode>
                <c:ptCount val="20"/>
                <c:pt idx="0">
                  <c:v>455</c:v>
                </c:pt>
                <c:pt idx="1">
                  <c:v>426.45084532845726</c:v>
                </c:pt>
                <c:pt idx="2">
                  <c:v>395.04677518976018</c:v>
                </c:pt>
                <c:pt idx="3">
                  <c:v>360.50229803719344</c:v>
                </c:pt>
                <c:pt idx="4">
                  <c:v>322.50337316936992</c:v>
                </c:pt>
                <c:pt idx="5">
                  <c:v>280.70455581476415</c:v>
                </c:pt>
                <c:pt idx="6">
                  <c:v>234.72585672469782</c:v>
                </c:pt>
                <c:pt idx="7">
                  <c:v>184.14928772562476</c:v>
                </c:pt>
                <c:pt idx="8">
                  <c:v>128.51506182664448</c:v>
                </c:pt>
                <c:pt idx="9">
                  <c:v>67.317413337766169</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2-71C4-4192-A64A-AABEE8F22A93}"/>
            </c:ext>
          </c:extLst>
        </c:ser>
        <c:dLbls>
          <c:showLegendKey val="0"/>
          <c:showVal val="0"/>
          <c:showCatName val="0"/>
          <c:showSerName val="0"/>
          <c:showPercent val="0"/>
          <c:showBubbleSize val="0"/>
        </c:dLbls>
        <c:axId val="115255168"/>
        <c:axId val="115261440"/>
      </c:areaChart>
      <c:lineChart>
        <c:grouping val="standard"/>
        <c:varyColors val="0"/>
        <c:ser>
          <c:idx val="0"/>
          <c:order val="3"/>
          <c:tx>
            <c:strRef>
              <c:f>'C8-Additional CAPEX'!$F$14</c:f>
              <c:strCache>
                <c:ptCount val="1"/>
                <c:pt idx="0">
                  <c:v>Impact on ARR </c:v>
                </c:pt>
              </c:strCache>
            </c:strRef>
          </c:tx>
          <c:spPr>
            <a:ln w="19050">
              <a:solidFill>
                <a:schemeClr val="tx1"/>
              </a:solidFill>
              <a:prstDash val="sysDash"/>
            </a:ln>
          </c:spPr>
          <c:marker>
            <c:symbol val="none"/>
          </c:marker>
          <c:val>
            <c:numRef>
              <c:f>'C8-Additional CAPEX'!$F$16:$F$35</c:f>
              <c:numCache>
                <c:formatCode>0</c:formatCode>
                <c:ptCount val="20"/>
                <c:pt idx="0">
                  <c:v>1137.5</c:v>
                </c:pt>
                <c:pt idx="1">
                  <c:v>1108.9508453284573</c:v>
                </c:pt>
                <c:pt idx="2">
                  <c:v>1077.5467751897602</c:v>
                </c:pt>
                <c:pt idx="3">
                  <c:v>1043.0022980371934</c:v>
                </c:pt>
                <c:pt idx="4">
                  <c:v>1005.00337316937</c:v>
                </c:pt>
                <c:pt idx="5">
                  <c:v>963.20455581476415</c:v>
                </c:pt>
                <c:pt idx="6">
                  <c:v>917.22585672469779</c:v>
                </c:pt>
                <c:pt idx="7">
                  <c:v>866.64928772562473</c:v>
                </c:pt>
                <c:pt idx="8">
                  <c:v>811.01506182664446</c:v>
                </c:pt>
                <c:pt idx="9">
                  <c:v>749.8174133377662</c:v>
                </c:pt>
                <c:pt idx="10">
                  <c:v>682.5</c:v>
                </c:pt>
                <c:pt idx="11">
                  <c:v>682.5</c:v>
                </c:pt>
                <c:pt idx="12">
                  <c:v>682.5</c:v>
                </c:pt>
                <c:pt idx="13">
                  <c:v>682.5</c:v>
                </c:pt>
                <c:pt idx="14">
                  <c:v>682.5</c:v>
                </c:pt>
                <c:pt idx="15">
                  <c:v>292.5</c:v>
                </c:pt>
                <c:pt idx="16">
                  <c:v>292.5</c:v>
                </c:pt>
                <c:pt idx="17">
                  <c:v>292.5</c:v>
                </c:pt>
                <c:pt idx="18">
                  <c:v>292.5</c:v>
                </c:pt>
                <c:pt idx="19">
                  <c:v>292.5</c:v>
                </c:pt>
              </c:numCache>
            </c:numRef>
          </c:val>
          <c:smooth val="0"/>
          <c:extLst>
            <c:ext xmlns:c16="http://schemas.microsoft.com/office/drawing/2014/chart" uri="{C3380CC4-5D6E-409C-BE32-E72D297353CC}">
              <c16:uniqueId val="{00000003-71C4-4192-A64A-AABEE8F22A93}"/>
            </c:ext>
          </c:extLst>
        </c:ser>
        <c:dLbls>
          <c:showLegendKey val="0"/>
          <c:showVal val="0"/>
          <c:showCatName val="0"/>
          <c:showSerName val="0"/>
          <c:showPercent val="0"/>
          <c:showBubbleSize val="0"/>
        </c:dLbls>
        <c:marker val="1"/>
        <c:smooth val="0"/>
        <c:axId val="115255168"/>
        <c:axId val="115261440"/>
      </c:lineChart>
      <c:catAx>
        <c:axId val="115255168"/>
        <c:scaling>
          <c:orientation val="minMax"/>
        </c:scaling>
        <c:delete val="0"/>
        <c:axPos val="b"/>
        <c:title>
          <c:tx>
            <c:rich>
              <a:bodyPr/>
              <a:lstStyle/>
              <a:p>
                <a:pPr>
                  <a:defRPr b="0">
                    <a:latin typeface="+mn-lt"/>
                  </a:defRPr>
                </a:pPr>
                <a:r>
                  <a:rPr lang="en-US" b="0">
                    <a:latin typeface="+mn-lt"/>
                  </a:rPr>
                  <a:t>Year</a:t>
                </a:r>
              </a:p>
            </c:rich>
          </c:tx>
          <c:layout>
            <c:manualLayout>
              <c:xMode val="edge"/>
              <c:yMode val="edge"/>
              <c:x val="0.49387681299405783"/>
              <c:y val="0.9049200668098305"/>
            </c:manualLayout>
          </c:layout>
          <c:overlay val="0"/>
        </c:title>
        <c:numFmt formatCode="General" sourceLinked="1"/>
        <c:majorTickMark val="out"/>
        <c:minorTickMark val="none"/>
        <c:tickLblPos val="nextTo"/>
        <c:spPr>
          <a:ln/>
        </c:spPr>
        <c:txPr>
          <a:bodyPr/>
          <a:lstStyle/>
          <a:p>
            <a:pPr>
              <a:defRPr sz="900">
                <a:latin typeface="+mn-lt"/>
              </a:defRPr>
            </a:pPr>
            <a:endParaRPr lang="en-US"/>
          </a:p>
        </c:txPr>
        <c:crossAx val="115261440"/>
        <c:crosses val="autoZero"/>
        <c:auto val="1"/>
        <c:lblAlgn val="ctr"/>
        <c:lblOffset val="100"/>
        <c:noMultiLvlLbl val="0"/>
      </c:catAx>
      <c:valAx>
        <c:axId val="115261440"/>
        <c:scaling>
          <c:orientation val="minMax"/>
        </c:scaling>
        <c:delete val="0"/>
        <c:axPos val="l"/>
        <c:title>
          <c:tx>
            <c:rich>
              <a:bodyPr rot="-5400000" vert="horz"/>
              <a:lstStyle/>
              <a:p>
                <a:pPr>
                  <a:defRPr b="0">
                    <a:latin typeface="+mn-lt"/>
                  </a:defRPr>
                </a:pPr>
                <a:r>
                  <a:rPr lang="en-US" b="0">
                    <a:latin typeface="+mn-lt"/>
                  </a:rPr>
                  <a:t>Rs. Crore</a:t>
                </a:r>
              </a:p>
            </c:rich>
          </c:tx>
          <c:layout>
            <c:manualLayout>
              <c:xMode val="edge"/>
              <c:yMode val="edge"/>
              <c:x val="6.9612017339834478E-2"/>
              <c:y val="0.43076894096371926"/>
            </c:manualLayout>
          </c:layout>
          <c:overlay val="0"/>
        </c:title>
        <c:numFmt formatCode="0" sourceLinked="1"/>
        <c:majorTickMark val="out"/>
        <c:minorTickMark val="none"/>
        <c:tickLblPos val="nextTo"/>
        <c:txPr>
          <a:bodyPr/>
          <a:lstStyle/>
          <a:p>
            <a:pPr>
              <a:defRPr sz="900">
                <a:latin typeface="+mn-lt"/>
              </a:defRPr>
            </a:pPr>
            <a:endParaRPr lang="en-US"/>
          </a:p>
        </c:txPr>
        <c:crossAx val="115255168"/>
        <c:crossesAt val="1"/>
        <c:crossBetween val="midCat"/>
      </c:valAx>
      <c:spPr>
        <a:noFill/>
      </c:spPr>
    </c:plotArea>
    <c:legend>
      <c:legendPos val="t"/>
      <c:legendEntry>
        <c:idx val="0"/>
        <c:txPr>
          <a:bodyPr/>
          <a:lstStyle/>
          <a:p>
            <a:pPr>
              <a:defRPr sz="900">
                <a:solidFill>
                  <a:schemeClr val="tx1">
                    <a:lumMod val="50000"/>
                    <a:lumOff val="50000"/>
                  </a:schemeClr>
                </a:solidFill>
                <a:latin typeface="+mn-lt"/>
              </a:defRPr>
            </a:pPr>
            <a:endParaRPr lang="en-US"/>
          </a:p>
        </c:txPr>
      </c:legendEntry>
      <c:legendEntry>
        <c:idx val="1"/>
        <c:txPr>
          <a:bodyPr/>
          <a:lstStyle/>
          <a:p>
            <a:pPr>
              <a:defRPr sz="900">
                <a:solidFill>
                  <a:schemeClr val="tx1">
                    <a:lumMod val="50000"/>
                    <a:lumOff val="50000"/>
                  </a:schemeClr>
                </a:solidFill>
                <a:latin typeface="+mn-lt"/>
              </a:defRPr>
            </a:pPr>
            <a:endParaRPr lang="en-US"/>
          </a:p>
        </c:txPr>
      </c:legendEntry>
      <c:legendEntry>
        <c:idx val="2"/>
        <c:txPr>
          <a:bodyPr/>
          <a:lstStyle/>
          <a:p>
            <a:pPr>
              <a:defRPr sz="900">
                <a:solidFill>
                  <a:schemeClr val="tx1">
                    <a:lumMod val="50000"/>
                    <a:lumOff val="50000"/>
                  </a:schemeClr>
                </a:solidFill>
                <a:latin typeface="+mn-lt"/>
              </a:defRPr>
            </a:pPr>
            <a:endParaRPr lang="en-US"/>
          </a:p>
        </c:txPr>
      </c:legendEntry>
      <c:legendEntry>
        <c:idx val="3"/>
        <c:txPr>
          <a:bodyPr/>
          <a:lstStyle/>
          <a:p>
            <a:pPr>
              <a:defRPr sz="900">
                <a:solidFill>
                  <a:schemeClr val="tx1">
                    <a:lumMod val="50000"/>
                    <a:lumOff val="50000"/>
                  </a:schemeClr>
                </a:solidFill>
                <a:latin typeface="+mn-lt"/>
              </a:defRPr>
            </a:pPr>
            <a:endParaRPr lang="en-US"/>
          </a:p>
        </c:txPr>
      </c:legendEntry>
      <c:layout>
        <c:manualLayout>
          <c:xMode val="edge"/>
          <c:yMode val="edge"/>
          <c:x val="9.517147403206723E-2"/>
          <c:y val="9.4712563584419179E-2"/>
          <c:w val="0.9"/>
          <c:h val="8.2278586858058667E-2"/>
        </c:manualLayout>
      </c:layout>
      <c:overlay val="0"/>
      <c:txPr>
        <a:bodyPr/>
        <a:lstStyle/>
        <a:p>
          <a:pPr>
            <a:defRPr>
              <a:latin typeface="+mn-lt"/>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r>
              <a:rPr lang="en-IN" sz="1100">
                <a:solidFill>
                  <a:schemeClr val="tx1">
                    <a:lumMod val="50000"/>
                    <a:lumOff val="50000"/>
                  </a:schemeClr>
                </a:solidFill>
                <a:latin typeface="+mn-lt"/>
              </a:rPr>
              <a:t>Effective Tariff</a:t>
            </a:r>
          </a:p>
        </c:rich>
      </c:tx>
      <c:layout>
        <c:manualLayout>
          <c:xMode val="edge"/>
          <c:yMode val="edge"/>
          <c:x val="0.44253684242777047"/>
          <c:y val="3.448275862068965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75000"/>
                  <a:lumOff val="25000"/>
                </a:schemeClr>
              </a:solidFill>
              <a:latin typeface="+mn-lt"/>
              <a:ea typeface="+mn-ea"/>
              <a:cs typeface="+mn-cs"/>
            </a:defRPr>
          </a:pPr>
          <a:endParaRPr lang="en-US"/>
        </a:p>
      </c:txPr>
    </c:title>
    <c:autoTitleDeleted val="0"/>
    <c:plotArea>
      <c:layout/>
      <c:barChart>
        <c:barDir val="col"/>
        <c:grouping val="stacked"/>
        <c:varyColors val="0"/>
        <c:ser>
          <c:idx val="0"/>
          <c:order val="0"/>
          <c:tx>
            <c:strRef>
              <c:f>'C10-Cross-Subsidy &amp; Revenue Gap'!$E$5</c:f>
              <c:strCache>
                <c:ptCount val="1"/>
                <c:pt idx="0">
                  <c:v>Average Billing Rate (ABR)</c:v>
                </c:pt>
              </c:strCache>
            </c:strRef>
          </c:tx>
          <c:spPr>
            <a:solidFill>
              <a:srgbClr val="558ED5"/>
            </a:solidFill>
            <a:ln>
              <a:noFill/>
            </a:ln>
            <a:effectLst/>
          </c:spPr>
          <c:invertIfNegative val="0"/>
          <c:cat>
            <c:strRef>
              <c:extLst>
                <c:ext xmlns:c15="http://schemas.microsoft.com/office/drawing/2012/chart" uri="{02D57815-91ED-43cb-92C2-25804820EDAC}">
                  <c15:fullRef>
                    <c15:sqref>'C10-Cross-Subsidy &amp; Revenue Gap'!$B$6:$B$16</c15:sqref>
                  </c15:fullRef>
                </c:ext>
              </c:extLst>
              <c:f>('C10-Cross-Subsidy &amp; Revenue Gap'!$B$8:$B$11,'C10-Cross-Subsidy &amp; Revenue Gap'!$B$14:$B$15)</c:f>
              <c:strCache>
                <c:ptCount val="6"/>
                <c:pt idx="0">
                  <c:v>LT-I: Domestic</c:v>
                </c:pt>
                <c:pt idx="1">
                  <c:v>LT-II: Commercial</c:v>
                </c:pt>
                <c:pt idx="2">
                  <c:v>LT-III: Industrial</c:v>
                </c:pt>
                <c:pt idx="3">
                  <c:v>LT-IV: Agricultural</c:v>
                </c:pt>
                <c:pt idx="4">
                  <c:v>HT-I: Industrial</c:v>
                </c:pt>
                <c:pt idx="5">
                  <c:v>HT-II: Commercial</c:v>
                </c:pt>
              </c:strCache>
            </c:strRef>
          </c:cat>
          <c:val>
            <c:numRef>
              <c:extLst>
                <c:ext xmlns:c15="http://schemas.microsoft.com/office/drawing/2012/chart" uri="{02D57815-91ED-43cb-92C2-25804820EDAC}">
                  <c15:fullRef>
                    <c15:sqref>'C10-Cross-Subsidy &amp; Revenue Gap'!$E$6:$E$16</c15:sqref>
                  </c15:fullRef>
                </c:ext>
              </c:extLst>
              <c:f>('C10-Cross-Subsidy &amp; Revenue Gap'!$E$8:$E$11,'C10-Cross-Subsidy &amp; Revenue Gap'!$E$14:$E$15)</c:f>
              <c:numCache>
                <c:formatCode>0.00</c:formatCode>
                <c:ptCount val="6"/>
                <c:pt idx="0">
                  <c:v>2.8571428571428572</c:v>
                </c:pt>
                <c:pt idx="1">
                  <c:v>3.0158730158730154</c:v>
                </c:pt>
                <c:pt idx="2">
                  <c:v>3.0158730158730154</c:v>
                </c:pt>
                <c:pt idx="3">
                  <c:v>1.5873015873015872</c:v>
                </c:pt>
                <c:pt idx="4">
                  <c:v>4.2857142857142856</c:v>
                </c:pt>
                <c:pt idx="5">
                  <c:v>5.0793650793650791</c:v>
                </c:pt>
              </c:numCache>
            </c:numRef>
          </c:val>
          <c:extLst>
            <c:ext xmlns:c16="http://schemas.microsoft.com/office/drawing/2014/chart" uri="{C3380CC4-5D6E-409C-BE32-E72D297353CC}">
              <c16:uniqueId val="{00000000-02D0-40D4-8230-EA13D1E9BEA2}"/>
            </c:ext>
          </c:extLst>
        </c:ser>
        <c:ser>
          <c:idx val="1"/>
          <c:order val="1"/>
          <c:tx>
            <c:strRef>
              <c:f>'C10-Cross-Subsidy &amp; Revenue Gap'!$G$5</c:f>
              <c:strCache>
                <c:ptCount val="1"/>
                <c:pt idx="0">
                  <c:v>Cross Subsidy Received</c:v>
                </c:pt>
              </c:strCache>
            </c:strRef>
          </c:tx>
          <c:spPr>
            <a:solidFill>
              <a:srgbClr val="DBEEF4"/>
            </a:solidFill>
            <a:ln>
              <a:noFill/>
            </a:ln>
            <a:effectLst/>
          </c:spPr>
          <c:invertIfNegative val="0"/>
          <c:cat>
            <c:strRef>
              <c:extLst>
                <c:ext xmlns:c15="http://schemas.microsoft.com/office/drawing/2012/chart" uri="{02D57815-91ED-43cb-92C2-25804820EDAC}">
                  <c15:fullRef>
                    <c15:sqref>'C10-Cross-Subsidy &amp; Revenue Gap'!$B$6:$B$16</c15:sqref>
                  </c15:fullRef>
                </c:ext>
              </c:extLst>
              <c:f>('C10-Cross-Subsidy &amp; Revenue Gap'!$B$8:$B$11,'C10-Cross-Subsidy &amp; Revenue Gap'!$B$14:$B$15)</c:f>
              <c:strCache>
                <c:ptCount val="6"/>
                <c:pt idx="0">
                  <c:v>LT-I: Domestic</c:v>
                </c:pt>
                <c:pt idx="1">
                  <c:v>LT-II: Commercial</c:v>
                </c:pt>
                <c:pt idx="2">
                  <c:v>LT-III: Industrial</c:v>
                </c:pt>
                <c:pt idx="3">
                  <c:v>LT-IV: Agricultural</c:v>
                </c:pt>
                <c:pt idx="4">
                  <c:v>HT-I: Industrial</c:v>
                </c:pt>
                <c:pt idx="5">
                  <c:v>HT-II: Commercial</c:v>
                </c:pt>
              </c:strCache>
            </c:strRef>
          </c:cat>
          <c:val>
            <c:numRef>
              <c:extLst>
                <c:ext xmlns:c15="http://schemas.microsoft.com/office/drawing/2012/chart" uri="{02D57815-91ED-43cb-92C2-25804820EDAC}">
                  <c15:fullRef>
                    <c15:sqref>'C10-Cross-Subsidy &amp; Revenue Gap'!$G$6:$G$16</c15:sqref>
                  </c15:fullRef>
                </c:ext>
              </c:extLst>
              <c:f>('C10-Cross-Subsidy &amp; Revenue Gap'!$G$8:$G$11,'C10-Cross-Subsidy &amp; Revenue Gap'!$G$14:$G$15)</c:f>
              <c:numCache>
                <c:formatCode>General</c:formatCode>
                <c:ptCount val="6"/>
                <c:pt idx="0" formatCode="0.00">
                  <c:v>0.31746031746031722</c:v>
                </c:pt>
                <c:pt idx="1" formatCode="0.00">
                  <c:v>0.15873015873015905</c:v>
                </c:pt>
                <c:pt idx="2" formatCode="0.00">
                  <c:v>0.15873015873015905</c:v>
                </c:pt>
                <c:pt idx="3" formatCode="0.00">
                  <c:v>1.5873015873015872</c:v>
                </c:pt>
                <c:pt idx="4" formatCode="0.00">
                  <c:v>0</c:v>
                </c:pt>
                <c:pt idx="5" formatCode="0.00">
                  <c:v>0</c:v>
                </c:pt>
              </c:numCache>
            </c:numRef>
          </c:val>
          <c:extLst>
            <c:ext xmlns:c16="http://schemas.microsoft.com/office/drawing/2014/chart" uri="{C3380CC4-5D6E-409C-BE32-E72D297353CC}">
              <c16:uniqueId val="{00000001-02D0-40D4-8230-EA13D1E9BEA2}"/>
            </c:ext>
          </c:extLst>
        </c:ser>
        <c:dLbls>
          <c:showLegendKey val="0"/>
          <c:showVal val="0"/>
          <c:showCatName val="0"/>
          <c:showSerName val="0"/>
          <c:showPercent val="0"/>
          <c:showBubbleSize val="0"/>
        </c:dLbls>
        <c:gapWidth val="268"/>
        <c:overlap val="100"/>
        <c:axId val="642645688"/>
        <c:axId val="154758392"/>
      </c:barChart>
      <c:lineChart>
        <c:grouping val="standard"/>
        <c:varyColors val="0"/>
        <c:ser>
          <c:idx val="2"/>
          <c:order val="2"/>
          <c:tx>
            <c:strRef>
              <c:f>'C10-Cross-Subsidy &amp; Revenue Gap'!$H$5</c:f>
              <c:strCache>
                <c:ptCount val="1"/>
                <c:pt idx="0">
                  <c:v>ACoS</c:v>
                </c:pt>
              </c:strCache>
            </c:strRef>
          </c:tx>
          <c:spPr>
            <a:ln w="15875" cap="rnd">
              <a:solidFill>
                <a:srgbClr val="FFCC99"/>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02D0-40D4-8230-EA13D1E9BEA2}"/>
                </c:ext>
              </c:extLst>
            </c:dLbl>
            <c:dLbl>
              <c:idx val="1"/>
              <c:delete val="1"/>
              <c:extLst>
                <c:ext xmlns:c15="http://schemas.microsoft.com/office/drawing/2012/chart" uri="{CE6537A1-D6FC-4f65-9D91-7224C49458BB}"/>
                <c:ext xmlns:c16="http://schemas.microsoft.com/office/drawing/2014/chart" uri="{C3380CC4-5D6E-409C-BE32-E72D297353CC}">
                  <c16:uniqueId val="{00000006-02D0-40D4-8230-EA13D1E9BEA2}"/>
                </c:ext>
              </c:extLst>
            </c:dLbl>
            <c:dLbl>
              <c:idx val="2"/>
              <c:delete val="1"/>
              <c:extLst>
                <c:ext xmlns:c15="http://schemas.microsoft.com/office/drawing/2012/chart" uri="{CE6537A1-D6FC-4f65-9D91-7224C49458BB}"/>
                <c:ext xmlns:c16="http://schemas.microsoft.com/office/drawing/2014/chart" uri="{C3380CC4-5D6E-409C-BE32-E72D297353CC}">
                  <c16:uniqueId val="{00000005-02D0-40D4-8230-EA13D1E9BEA2}"/>
                </c:ext>
              </c:extLst>
            </c:dLbl>
            <c:dLbl>
              <c:idx val="3"/>
              <c:delete val="1"/>
              <c:extLst>
                <c:ext xmlns:c15="http://schemas.microsoft.com/office/drawing/2012/chart" uri="{CE6537A1-D6FC-4f65-9D91-7224C49458BB}"/>
                <c:ext xmlns:c16="http://schemas.microsoft.com/office/drawing/2014/chart" uri="{C3380CC4-5D6E-409C-BE32-E72D297353CC}">
                  <c16:uniqueId val="{00000004-02D0-40D4-8230-EA13D1E9BEA2}"/>
                </c:ext>
              </c:extLst>
            </c:dLbl>
            <c:dLbl>
              <c:idx val="4"/>
              <c:delete val="1"/>
              <c:extLst>
                <c:ext xmlns:c15="http://schemas.microsoft.com/office/drawing/2012/chart" uri="{CE6537A1-D6FC-4f65-9D91-7224C49458BB}"/>
                <c:ext xmlns:c16="http://schemas.microsoft.com/office/drawing/2014/chart" uri="{C3380CC4-5D6E-409C-BE32-E72D297353CC}">
                  <c16:uniqueId val="{00000003-02D0-40D4-8230-EA13D1E9BEA2}"/>
                </c:ext>
              </c:extLst>
            </c:dLbl>
            <c:dLbl>
              <c:idx val="5"/>
              <c:delete val="1"/>
              <c:extLst>
                <c:ext xmlns:c15="http://schemas.microsoft.com/office/drawing/2012/chart" uri="{CE6537A1-D6FC-4f65-9D91-7224C49458BB}"/>
                <c:ext xmlns:c16="http://schemas.microsoft.com/office/drawing/2014/chart" uri="{C3380CC4-5D6E-409C-BE32-E72D297353CC}">
                  <c16:uniqueId val="{00000008-02D0-40D4-8230-EA13D1E9BEA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Lit>
              <c:ptCount val="6"/>
              <c:pt idx="0">
                <c:v>LT-I: Domestic</c:v>
              </c:pt>
              <c:pt idx="1">
                <c:v>LT-II: Commercial</c:v>
              </c:pt>
              <c:pt idx="2">
                <c:v>LT-III: Industrial</c:v>
              </c:pt>
              <c:pt idx="3">
                <c:v>LT-IV: Agricultural</c:v>
              </c:pt>
              <c:pt idx="4">
                <c:v>HT-I: Industrial</c:v>
              </c:pt>
              <c:pt idx="5">
                <c:v>HT-II: Commercial</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'C10-Cross-Subsidy &amp; Revenue Gap'!$H$6:$H$16</c15:sqref>
                  </c15:fullRef>
                </c:ext>
              </c:extLst>
              <c:f>('C10-Cross-Subsidy &amp; Revenue Gap'!$H$8:$H$11,'C10-Cross-Subsidy &amp; Revenue Gap'!$H$14:$H$15)</c:f>
              <c:numCache>
                <c:formatCode>0.00</c:formatCode>
                <c:ptCount val="6"/>
                <c:pt idx="0">
                  <c:v>3.1746031746031744</c:v>
                </c:pt>
                <c:pt idx="1">
                  <c:v>3.1746031746031744</c:v>
                </c:pt>
                <c:pt idx="2">
                  <c:v>3.1746031746031744</c:v>
                </c:pt>
                <c:pt idx="3">
                  <c:v>3.1746031746031744</c:v>
                </c:pt>
                <c:pt idx="4">
                  <c:v>3.1746031746031744</c:v>
                </c:pt>
                <c:pt idx="5">
                  <c:v>3.1746031746031744</c:v>
                </c:pt>
              </c:numCache>
            </c:numRef>
          </c:val>
          <c:smooth val="0"/>
          <c:extLst>
            <c:ext xmlns:c16="http://schemas.microsoft.com/office/drawing/2014/chart" uri="{C3380CC4-5D6E-409C-BE32-E72D297353CC}">
              <c16:uniqueId val="{00000002-02D0-40D4-8230-EA13D1E9BEA2}"/>
            </c:ext>
          </c:extLst>
        </c:ser>
        <c:dLbls>
          <c:showLegendKey val="0"/>
          <c:showVal val="0"/>
          <c:showCatName val="0"/>
          <c:showSerName val="0"/>
          <c:showPercent val="0"/>
          <c:showBubbleSize val="0"/>
        </c:dLbls>
        <c:marker val="1"/>
        <c:smooth val="0"/>
        <c:axId val="642645688"/>
        <c:axId val="154758392"/>
      </c:lineChart>
      <c:catAx>
        <c:axId val="6426456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154758392"/>
        <c:crosses val="autoZero"/>
        <c:auto val="1"/>
        <c:lblAlgn val="ctr"/>
        <c:lblOffset val="100"/>
        <c:noMultiLvlLbl val="0"/>
      </c:catAx>
      <c:valAx>
        <c:axId val="154758392"/>
        <c:scaling>
          <c:orientation val="minMax"/>
        </c:scaling>
        <c:delete val="0"/>
        <c:axPos val="l"/>
        <c:majorGridlines>
          <c:spPr>
            <a:ln w="0" cap="flat" cmpd="sng" algn="ctr">
              <a:solidFill>
                <a:schemeClr val="tx1">
                  <a:lumMod val="75000"/>
                  <a:lumOff val="25000"/>
                  <a:alpha val="9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IN" sz="900">
                    <a:latin typeface="+mn-lt"/>
                  </a:rPr>
                  <a:t>Rs./kWh</a:t>
                </a:r>
              </a:p>
            </c:rich>
          </c:tx>
          <c:layout>
            <c:manualLayout>
              <c:xMode val="edge"/>
              <c:yMode val="edge"/>
              <c:x val="1.867704280155642E-2"/>
              <c:y val="0.34638383564123448"/>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75000"/>
                    <a:lumOff val="25000"/>
                  </a:schemeClr>
                </a:solidFill>
                <a:latin typeface="+mn-lt"/>
                <a:ea typeface="+mn-ea"/>
                <a:cs typeface="+mn-cs"/>
              </a:defRPr>
            </a:pPr>
            <a:endParaRPr lang="en-US"/>
          </a:p>
        </c:txPr>
        <c:crossAx val="6426456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2.xml"/></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6</xdr:col>
      <xdr:colOff>450849</xdr:colOff>
      <xdr:row>9</xdr:row>
      <xdr:rowOff>147168</xdr:rowOff>
    </xdr:from>
    <xdr:to>
      <xdr:col>7</xdr:col>
      <xdr:colOff>290286</xdr:colOff>
      <xdr:row>11</xdr:row>
      <xdr:rowOff>187079</xdr:rowOff>
    </xdr:to>
    <xdr:pic>
      <xdr:nvPicPr>
        <xdr:cNvPr id="3" name="Picture 2">
          <a:extLst>
            <a:ext uri="{FF2B5EF4-FFF2-40B4-BE49-F238E27FC236}">
              <a16:creationId xmlns:a16="http://schemas.microsoft.com/office/drawing/2014/main" id="{B80DE590-FA0D-479C-97B6-4CF7060922A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4178299" y="3087218"/>
          <a:ext cx="569687" cy="408211"/>
        </a:xfrm>
        <a:prstGeom prst="rect">
          <a:avLst/>
        </a:prstGeom>
      </xdr:spPr>
    </xdr:pic>
    <xdr:clientData/>
  </xdr:twoCellAnchor>
  <xdr:oneCellAnchor>
    <xdr:from>
      <xdr:col>18</xdr:col>
      <xdr:colOff>2066925</xdr:colOff>
      <xdr:row>8</xdr:row>
      <xdr:rowOff>1404906</xdr:rowOff>
    </xdr:from>
    <xdr:ext cx="2375" cy="535"/>
    <xdr:pic>
      <xdr:nvPicPr>
        <xdr:cNvPr id="7" name="Picture 6">
          <a:extLst>
            <a:ext uri="{FF2B5EF4-FFF2-40B4-BE49-F238E27FC236}">
              <a16:creationId xmlns:a16="http://schemas.microsoft.com/office/drawing/2014/main" id="{16E7332E-7D7C-4CA1-B09A-2574A2F527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3325" y="7685056"/>
          <a:ext cx="2375" cy="535"/>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5</xdr:col>
      <xdr:colOff>704850</xdr:colOff>
      <xdr:row>13</xdr:row>
      <xdr:rowOff>25400</xdr:rowOff>
    </xdr:from>
    <xdr:to>
      <xdr:col>14</xdr:col>
      <xdr:colOff>69850</xdr:colOff>
      <xdr:row>35</xdr:row>
      <xdr:rowOff>165100</xdr:rowOff>
    </xdr:to>
    <xdr:graphicFrame macro="">
      <xdr:nvGraphicFramePr>
        <xdr:cNvPr id="2" name="Chart 1">
          <a:extLst>
            <a:ext uri="{FF2B5EF4-FFF2-40B4-BE49-F238E27FC236}">
              <a16:creationId xmlns:a16="http://schemas.microsoft.com/office/drawing/2014/main" id="{85CEA165-18EC-42D0-BD81-790EB0D343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19050</xdr:colOff>
      <xdr:row>1</xdr:row>
      <xdr:rowOff>57150</xdr:rowOff>
    </xdr:from>
    <xdr:to>
      <xdr:col>13</xdr:col>
      <xdr:colOff>509707</xdr:colOff>
      <xdr:row>1</xdr:row>
      <xdr:rowOff>407257</xdr:rowOff>
    </xdr:to>
    <xdr:pic>
      <xdr:nvPicPr>
        <xdr:cNvPr id="3" name="Picture 2">
          <a:extLst>
            <a:ext uri="{FF2B5EF4-FFF2-40B4-BE49-F238E27FC236}">
              <a16:creationId xmlns:a16="http://schemas.microsoft.com/office/drawing/2014/main" id="{1E822E71-2569-4EEB-84F7-057BB9F2B1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74250" y="247650"/>
          <a:ext cx="490657" cy="35010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3282950</xdr:colOff>
      <xdr:row>1</xdr:row>
      <xdr:rowOff>50800</xdr:rowOff>
    </xdr:from>
    <xdr:to>
      <xdr:col>3</xdr:col>
      <xdr:colOff>3773607</xdr:colOff>
      <xdr:row>1</xdr:row>
      <xdr:rowOff>400907</xdr:rowOff>
    </xdr:to>
    <xdr:pic>
      <xdr:nvPicPr>
        <xdr:cNvPr id="2" name="Picture 1">
          <a:extLst>
            <a:ext uri="{FF2B5EF4-FFF2-40B4-BE49-F238E27FC236}">
              <a16:creationId xmlns:a16="http://schemas.microsoft.com/office/drawing/2014/main" id="{1E94A4AE-72B5-4AB5-A52A-E7B83F05D7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45500" y="254000"/>
          <a:ext cx="490657" cy="35010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765175</xdr:colOff>
      <xdr:row>16</xdr:row>
      <xdr:rowOff>215900</xdr:rowOff>
    </xdr:from>
    <xdr:to>
      <xdr:col>5</xdr:col>
      <xdr:colOff>1454150</xdr:colOff>
      <xdr:row>22</xdr:row>
      <xdr:rowOff>57150</xdr:rowOff>
    </xdr:to>
    <xdr:graphicFrame macro="">
      <xdr:nvGraphicFramePr>
        <xdr:cNvPr id="4" name="Chart 3">
          <a:extLst>
            <a:ext uri="{FF2B5EF4-FFF2-40B4-BE49-F238E27FC236}">
              <a16:creationId xmlns:a16="http://schemas.microsoft.com/office/drawing/2014/main" id="{FA357883-A95B-4D8C-B52F-C8E22092C8C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952500</xdr:colOff>
      <xdr:row>1</xdr:row>
      <xdr:rowOff>57150</xdr:rowOff>
    </xdr:from>
    <xdr:to>
      <xdr:col>5</xdr:col>
      <xdr:colOff>1443157</xdr:colOff>
      <xdr:row>1</xdr:row>
      <xdr:rowOff>407257</xdr:rowOff>
    </xdr:to>
    <xdr:pic>
      <xdr:nvPicPr>
        <xdr:cNvPr id="3" name="Picture 2">
          <a:extLst>
            <a:ext uri="{FF2B5EF4-FFF2-40B4-BE49-F238E27FC236}">
              <a16:creationId xmlns:a16="http://schemas.microsoft.com/office/drawing/2014/main" id="{7E38CBE8-318F-438A-9A9D-E8FADEC7907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16950" y="215900"/>
          <a:ext cx="490657" cy="35010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3</xdr:col>
      <xdr:colOff>4959350</xdr:colOff>
      <xdr:row>1</xdr:row>
      <xdr:rowOff>44450</xdr:rowOff>
    </xdr:from>
    <xdr:to>
      <xdr:col>3</xdr:col>
      <xdr:colOff>5450007</xdr:colOff>
      <xdr:row>1</xdr:row>
      <xdr:rowOff>394557</xdr:rowOff>
    </xdr:to>
    <xdr:pic>
      <xdr:nvPicPr>
        <xdr:cNvPr id="2" name="Picture 1">
          <a:extLst>
            <a:ext uri="{FF2B5EF4-FFF2-40B4-BE49-F238E27FC236}">
              <a16:creationId xmlns:a16="http://schemas.microsoft.com/office/drawing/2014/main" id="{0FBF8005-72A2-4E33-B930-D9FC169493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50100" y="234950"/>
          <a:ext cx="490657" cy="3501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5169483</xdr:colOff>
      <xdr:row>1</xdr:row>
      <xdr:rowOff>57150</xdr:rowOff>
    </xdr:from>
    <xdr:to>
      <xdr:col>4</xdr:col>
      <xdr:colOff>5552149</xdr:colOff>
      <xdr:row>1</xdr:row>
      <xdr:rowOff>330200</xdr:rowOff>
    </xdr:to>
    <xdr:pic>
      <xdr:nvPicPr>
        <xdr:cNvPr id="4" name="Picture 3">
          <a:extLst>
            <a:ext uri="{FF2B5EF4-FFF2-40B4-BE49-F238E27FC236}">
              <a16:creationId xmlns:a16="http://schemas.microsoft.com/office/drawing/2014/main" id="{926A956E-ACB4-4A61-83FE-3589A8695D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9383" y="152400"/>
          <a:ext cx="382666" cy="273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5245100</xdr:colOff>
      <xdr:row>1</xdr:row>
      <xdr:rowOff>44450</xdr:rowOff>
    </xdr:from>
    <xdr:to>
      <xdr:col>5</xdr:col>
      <xdr:colOff>5735757</xdr:colOff>
      <xdr:row>1</xdr:row>
      <xdr:rowOff>394557</xdr:rowOff>
    </xdr:to>
    <xdr:pic>
      <xdr:nvPicPr>
        <xdr:cNvPr id="3" name="Picture 2">
          <a:extLst>
            <a:ext uri="{FF2B5EF4-FFF2-40B4-BE49-F238E27FC236}">
              <a16:creationId xmlns:a16="http://schemas.microsoft.com/office/drawing/2014/main" id="{36D5209B-324F-46D2-9643-75C8FFDC2A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93250" y="133350"/>
          <a:ext cx="490657" cy="3501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5721350</xdr:colOff>
      <xdr:row>1</xdr:row>
      <xdr:rowOff>44450</xdr:rowOff>
    </xdr:from>
    <xdr:to>
      <xdr:col>5</xdr:col>
      <xdr:colOff>6212007</xdr:colOff>
      <xdr:row>1</xdr:row>
      <xdr:rowOff>394557</xdr:rowOff>
    </xdr:to>
    <xdr:pic>
      <xdr:nvPicPr>
        <xdr:cNvPr id="2" name="Picture 1">
          <a:extLst>
            <a:ext uri="{FF2B5EF4-FFF2-40B4-BE49-F238E27FC236}">
              <a16:creationId xmlns:a16="http://schemas.microsoft.com/office/drawing/2014/main" id="{DA13ADBC-DE53-4232-84BB-62E3380F0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60000" y="177800"/>
          <a:ext cx="490657" cy="3501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5118100</xdr:colOff>
      <xdr:row>1</xdr:row>
      <xdr:rowOff>25400</xdr:rowOff>
    </xdr:from>
    <xdr:to>
      <xdr:col>5</xdr:col>
      <xdr:colOff>5608757</xdr:colOff>
      <xdr:row>1</xdr:row>
      <xdr:rowOff>375507</xdr:rowOff>
    </xdr:to>
    <xdr:pic>
      <xdr:nvPicPr>
        <xdr:cNvPr id="2" name="Picture 1">
          <a:extLst>
            <a:ext uri="{FF2B5EF4-FFF2-40B4-BE49-F238E27FC236}">
              <a16:creationId xmlns:a16="http://schemas.microsoft.com/office/drawing/2014/main" id="{D8A70B18-FFF4-4067-9166-5598B8F1D7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20250" y="158750"/>
          <a:ext cx="490657" cy="35010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3848100</xdr:colOff>
      <xdr:row>1</xdr:row>
      <xdr:rowOff>69850</xdr:rowOff>
    </xdr:from>
    <xdr:to>
      <xdr:col>4</xdr:col>
      <xdr:colOff>4338757</xdr:colOff>
      <xdr:row>1</xdr:row>
      <xdr:rowOff>419957</xdr:rowOff>
    </xdr:to>
    <xdr:pic>
      <xdr:nvPicPr>
        <xdr:cNvPr id="3" name="Picture 2">
          <a:extLst>
            <a:ext uri="{FF2B5EF4-FFF2-40B4-BE49-F238E27FC236}">
              <a16:creationId xmlns:a16="http://schemas.microsoft.com/office/drawing/2014/main" id="{B19EBE18-F68E-41F6-BBD2-61A98DCEF1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75700" y="234950"/>
          <a:ext cx="490657" cy="35010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139700</xdr:colOff>
      <xdr:row>1</xdr:row>
      <xdr:rowOff>31750</xdr:rowOff>
    </xdr:from>
    <xdr:to>
      <xdr:col>6</xdr:col>
      <xdr:colOff>630357</xdr:colOff>
      <xdr:row>1</xdr:row>
      <xdr:rowOff>381857</xdr:rowOff>
    </xdr:to>
    <xdr:pic>
      <xdr:nvPicPr>
        <xdr:cNvPr id="2" name="Picture 1">
          <a:extLst>
            <a:ext uri="{FF2B5EF4-FFF2-40B4-BE49-F238E27FC236}">
              <a16:creationId xmlns:a16="http://schemas.microsoft.com/office/drawing/2014/main" id="{34587971-9081-435A-B677-C6FF6C63C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88400" y="215900"/>
          <a:ext cx="490657" cy="3501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260350</xdr:colOff>
      <xdr:row>1</xdr:row>
      <xdr:rowOff>63500</xdr:rowOff>
    </xdr:from>
    <xdr:to>
      <xdr:col>4</xdr:col>
      <xdr:colOff>751007</xdr:colOff>
      <xdr:row>1</xdr:row>
      <xdr:rowOff>413607</xdr:rowOff>
    </xdr:to>
    <xdr:pic>
      <xdr:nvPicPr>
        <xdr:cNvPr id="2" name="Picture 1">
          <a:extLst>
            <a:ext uri="{FF2B5EF4-FFF2-40B4-BE49-F238E27FC236}">
              <a16:creationId xmlns:a16="http://schemas.microsoft.com/office/drawing/2014/main" id="{AE7A7460-3E50-497C-BC52-C6E339F24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2600" y="171450"/>
          <a:ext cx="490657" cy="35010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4</xdr:col>
      <xdr:colOff>4737100</xdr:colOff>
      <xdr:row>1</xdr:row>
      <xdr:rowOff>31750</xdr:rowOff>
    </xdr:from>
    <xdr:ext cx="490657" cy="350107"/>
    <xdr:pic>
      <xdr:nvPicPr>
        <xdr:cNvPr id="2" name="Picture 1">
          <a:extLst>
            <a:ext uri="{FF2B5EF4-FFF2-40B4-BE49-F238E27FC236}">
              <a16:creationId xmlns:a16="http://schemas.microsoft.com/office/drawing/2014/main" id="{845BED79-5AB5-4952-BE62-353C09760A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0" y="215900"/>
          <a:ext cx="490657" cy="350107"/>
        </a:xfrm>
        <a:prstGeom prst="rect">
          <a:avLst/>
        </a:prstGeom>
      </xdr:spPr>
    </xdr:pic>
    <xdr:clientData/>
  </xdr:oneCellAnchor>
  <xdr:oneCellAnchor>
    <xdr:from>
      <xdr:col>4</xdr:col>
      <xdr:colOff>4705350</xdr:colOff>
      <xdr:row>11</xdr:row>
      <xdr:rowOff>63500</xdr:rowOff>
    </xdr:from>
    <xdr:ext cx="490657" cy="350107"/>
    <xdr:pic>
      <xdr:nvPicPr>
        <xdr:cNvPr id="3" name="Picture 2">
          <a:extLst>
            <a:ext uri="{FF2B5EF4-FFF2-40B4-BE49-F238E27FC236}">
              <a16:creationId xmlns:a16="http://schemas.microsoft.com/office/drawing/2014/main" id="{CF41B78D-813A-4EF2-A37A-033778B21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00" y="2089150"/>
          <a:ext cx="490657" cy="35010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s://wss.mahadiscom.in/wss/wss?uiActionName=getApplianceParticulars" TargetMode="External"/><Relationship Id="rId13" Type="http://schemas.openxmlformats.org/officeDocument/2006/relationships/drawing" Target="../drawings/drawing13.xml"/><Relationship Id="rId3" Type="http://schemas.openxmlformats.org/officeDocument/2006/relationships/hyperlink" Target="https://apdcl.power.uneecopscloud.com/information-services/energy-calculator" TargetMode="External"/><Relationship Id="rId7" Type="http://schemas.openxmlformats.org/officeDocument/2006/relationships/hyperlink" Target="http://www.mpez.co.in/portal/Jabalpur_home.portal?_nfpb=true&amp;_pageLabel=custCentre_consCalc_jbl" TargetMode="External"/><Relationship Id="rId12" Type="http://schemas.openxmlformats.org/officeDocument/2006/relationships/printerSettings" Target="../printerSettings/printerSettings12.bin"/><Relationship Id="rId2" Type="http://schemas.openxmlformats.org/officeDocument/2006/relationships/hyperlink" Target="https://www.apspdcl.in/SPDCL_Home.portal?_nfpb=true&amp;_pageLabel=Login_portal_page_99" TargetMode="External"/><Relationship Id="rId1" Type="http://schemas.openxmlformats.org/officeDocument/2006/relationships/hyperlink" Target="https://www.bijlibachao.com/electricity-bill/online-electricity-bill-calculator-for-all-states-in-india.html" TargetMode="External"/><Relationship Id="rId6" Type="http://schemas.openxmlformats.org/officeDocument/2006/relationships/hyperlink" Target="http://www.cescmysore.org/en/consumption-calculator" TargetMode="External"/><Relationship Id="rId11" Type="http://schemas.openxmlformats.org/officeDocument/2006/relationships/hyperlink" Target="https://www.wbsedcl.in/irj/go/km/docs/internet/new_website/energyCostEstimator.html" TargetMode="External"/><Relationship Id="rId5" Type="http://schemas.openxmlformats.org/officeDocument/2006/relationships/hyperlink" Target="http://www.pgvcl.com/consumer/CONSUMER/calculate_n.php" TargetMode="External"/><Relationship Id="rId10" Type="http://schemas.openxmlformats.org/officeDocument/2006/relationships/hyperlink" Target="http://www.uppclonline.com/dispatch/Portal/appmanager/uppcl/wss?_nfpb=true&amp;_pageLabel=uppcl_consumption_consumptionCalculator&amp;pageID=1011" TargetMode="External"/><Relationship Id="rId4" Type="http://schemas.openxmlformats.org/officeDocument/2006/relationships/hyperlink" Target="https://tatapower-ddl.com/ecs/forms/loginportal.aspx" TargetMode="External"/><Relationship Id="rId9" Type="http://schemas.openxmlformats.org/officeDocument/2006/relationships/hyperlink" Target="https://www.tnebnet.org/awp/tariffMaster;jsessionid=8Qyc+2QaiytZ-veQ87IWn+mP?execution=e1s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CC"/>
  </sheetPr>
  <dimension ref="A1:Y180"/>
  <sheetViews>
    <sheetView showGridLines="0" tabSelected="1" zoomScaleNormal="100" workbookViewId="0">
      <selection activeCell="I45" sqref="I45"/>
    </sheetView>
  </sheetViews>
  <sheetFormatPr defaultColWidth="8.7265625" defaultRowHeight="14.5" x14ac:dyDescent="0.35"/>
  <cols>
    <col min="1" max="1" width="6.54296875" style="46" customWidth="1"/>
    <col min="2" max="3" width="8.453125" style="47" customWidth="1"/>
    <col min="4" max="11" width="10.453125" style="47" customWidth="1"/>
    <col min="12" max="13" width="8.453125" style="47" customWidth="1"/>
    <col min="14" max="25" width="8.7265625" style="46"/>
    <col min="26" max="16384" width="8.7265625" style="47"/>
  </cols>
  <sheetData>
    <row r="1" spans="1:25" x14ac:dyDescent="0.35">
      <c r="B1" s="327"/>
      <c r="C1" s="327"/>
      <c r="D1" s="332"/>
      <c r="E1" s="332"/>
      <c r="F1" s="332"/>
      <c r="G1" s="332"/>
      <c r="H1" s="332"/>
      <c r="I1" s="332"/>
      <c r="J1" s="332"/>
      <c r="K1" s="332"/>
      <c r="L1" s="327"/>
      <c r="M1" s="327"/>
    </row>
    <row r="2" spans="1:25" s="50" customFormat="1" ht="64.5" customHeight="1" x14ac:dyDescent="0.35">
      <c r="A2" s="48"/>
      <c r="B2" s="328"/>
      <c r="C2" s="328"/>
      <c r="D2" s="333" t="s">
        <v>345</v>
      </c>
      <c r="E2" s="334"/>
      <c r="F2" s="334"/>
      <c r="G2" s="334"/>
      <c r="H2" s="334"/>
      <c r="I2" s="334"/>
      <c r="J2" s="334"/>
      <c r="K2" s="334"/>
      <c r="L2" s="329"/>
      <c r="M2" s="328"/>
      <c r="N2" s="49"/>
      <c r="O2" s="49"/>
      <c r="P2" s="49"/>
      <c r="Q2" s="49"/>
      <c r="R2" s="49"/>
      <c r="S2" s="49"/>
      <c r="T2" s="49"/>
      <c r="U2" s="49"/>
      <c r="V2" s="49"/>
      <c r="W2" s="49"/>
      <c r="X2" s="49"/>
      <c r="Y2" s="48"/>
    </row>
    <row r="3" spans="1:25" ht="36" customHeight="1" x14ac:dyDescent="0.35">
      <c r="B3" s="327"/>
      <c r="C3" s="387" t="s">
        <v>347</v>
      </c>
      <c r="D3" s="387"/>
      <c r="E3" s="387"/>
      <c r="F3" s="387"/>
      <c r="G3" s="387"/>
      <c r="H3" s="387"/>
      <c r="I3" s="387"/>
      <c r="J3" s="387"/>
      <c r="K3" s="387"/>
      <c r="L3" s="387"/>
      <c r="M3" s="327"/>
      <c r="N3" s="49"/>
      <c r="O3" s="49"/>
      <c r="P3" s="49"/>
      <c r="Q3" s="49"/>
      <c r="R3" s="49"/>
      <c r="S3" s="49"/>
      <c r="T3" s="49"/>
      <c r="U3" s="49"/>
      <c r="V3" s="49"/>
      <c r="W3" s="49"/>
      <c r="X3" s="49"/>
    </row>
    <row r="4" spans="1:25" ht="25" customHeight="1" x14ac:dyDescent="0.35">
      <c r="B4" s="327"/>
      <c r="C4" s="327"/>
      <c r="D4" s="337" t="s">
        <v>344</v>
      </c>
      <c r="E4" s="337"/>
      <c r="F4" s="337"/>
      <c r="G4" s="337"/>
      <c r="H4" s="337"/>
      <c r="I4" s="337"/>
      <c r="J4" s="337"/>
      <c r="K4" s="337"/>
      <c r="L4" s="329"/>
      <c r="M4" s="327"/>
      <c r="N4" s="49"/>
      <c r="O4" s="49"/>
      <c r="P4" s="49"/>
      <c r="Q4" s="49"/>
      <c r="R4" s="49"/>
      <c r="S4" s="49"/>
      <c r="T4" s="49"/>
      <c r="U4" s="49"/>
      <c r="V4" s="49"/>
      <c r="W4" s="49"/>
      <c r="X4" s="49"/>
    </row>
    <row r="5" spans="1:25" s="51" customFormat="1" ht="14.5" customHeight="1" x14ac:dyDescent="0.35"/>
    <row r="6" spans="1:25" ht="41.15" customHeight="1" x14ac:dyDescent="0.35">
      <c r="B6" s="327"/>
      <c r="C6" s="327"/>
      <c r="D6" s="335" t="s">
        <v>343</v>
      </c>
      <c r="E6" s="335"/>
      <c r="F6" s="335"/>
      <c r="G6" s="335"/>
      <c r="H6" s="335"/>
      <c r="I6" s="335"/>
      <c r="J6" s="335"/>
      <c r="K6" s="335"/>
      <c r="L6" s="329"/>
      <c r="M6" s="327"/>
      <c r="N6" s="49"/>
      <c r="O6" s="49"/>
      <c r="P6" s="49"/>
      <c r="Q6" s="49"/>
      <c r="R6" s="49"/>
      <c r="S6" s="49"/>
      <c r="T6" s="49"/>
      <c r="U6" s="49"/>
      <c r="V6" s="49"/>
      <c r="W6" s="49"/>
      <c r="X6" s="49"/>
    </row>
    <row r="7" spans="1:25" s="53" customFormat="1" ht="25" customHeight="1" x14ac:dyDescent="0.35">
      <c r="A7" s="52"/>
      <c r="B7" s="330"/>
      <c r="C7" s="330"/>
      <c r="D7" s="335" t="s">
        <v>166</v>
      </c>
      <c r="E7" s="335"/>
      <c r="F7" s="335"/>
      <c r="G7" s="335"/>
      <c r="H7" s="335"/>
      <c r="I7" s="335"/>
      <c r="J7" s="335"/>
      <c r="K7" s="335"/>
      <c r="L7" s="331"/>
      <c r="M7" s="330"/>
      <c r="N7" s="49"/>
      <c r="O7" s="49"/>
      <c r="P7" s="49"/>
      <c r="Q7" s="49"/>
      <c r="R7" s="49"/>
      <c r="S7" s="49"/>
      <c r="T7" s="49"/>
      <c r="U7" s="49"/>
      <c r="V7" s="49"/>
      <c r="W7" s="49"/>
      <c r="X7" s="49"/>
      <c r="Y7" s="52"/>
    </row>
    <row r="8" spans="1:25" s="53" customFormat="1" ht="21" customHeight="1" x14ac:dyDescent="0.35">
      <c r="A8" s="52"/>
      <c r="B8" s="330"/>
      <c r="C8" s="330"/>
      <c r="D8" s="335" t="s">
        <v>167</v>
      </c>
      <c r="E8" s="335"/>
      <c r="F8" s="335"/>
      <c r="G8" s="335"/>
      <c r="H8" s="335"/>
      <c r="I8" s="335"/>
      <c r="J8" s="335"/>
      <c r="K8" s="335"/>
      <c r="L8" s="331"/>
      <c r="M8" s="330"/>
      <c r="N8" s="49"/>
      <c r="O8" s="49"/>
      <c r="P8" s="49"/>
      <c r="Q8" s="49"/>
      <c r="R8" s="49"/>
      <c r="S8" s="49"/>
      <c r="T8" s="49"/>
      <c r="U8" s="49"/>
      <c r="V8" s="49"/>
      <c r="W8" s="49"/>
      <c r="X8" s="49"/>
      <c r="Y8" s="52"/>
    </row>
    <row r="9" spans="1:25" ht="14.5" customHeight="1" x14ac:dyDescent="0.35">
      <c r="B9" s="327"/>
      <c r="C9" s="327"/>
      <c r="D9" s="336" t="s">
        <v>300</v>
      </c>
      <c r="E9" s="336"/>
      <c r="F9" s="336"/>
      <c r="G9" s="336"/>
      <c r="H9" s="336"/>
      <c r="I9" s="336"/>
      <c r="J9" s="336"/>
      <c r="K9" s="336"/>
      <c r="L9" s="329"/>
      <c r="M9" s="327"/>
      <c r="N9" s="49"/>
      <c r="O9" s="49"/>
      <c r="P9" s="49"/>
      <c r="Q9" s="49"/>
      <c r="R9" s="49"/>
      <c r="S9" s="49"/>
      <c r="T9" s="49"/>
      <c r="U9" s="49"/>
      <c r="V9" s="49"/>
      <c r="W9" s="49"/>
      <c r="X9" s="49"/>
    </row>
    <row r="10" spans="1:25" ht="14.5" customHeight="1" x14ac:dyDescent="0.35">
      <c r="B10" s="327"/>
      <c r="C10" s="327"/>
      <c r="D10" s="332"/>
      <c r="E10" s="332"/>
      <c r="F10" s="332"/>
      <c r="G10" s="332"/>
      <c r="H10" s="332"/>
      <c r="I10" s="332"/>
      <c r="J10" s="332"/>
      <c r="K10" s="332"/>
      <c r="L10" s="329"/>
      <c r="M10" s="327"/>
      <c r="N10" s="49"/>
      <c r="O10" s="49"/>
      <c r="P10" s="49"/>
      <c r="Q10" s="49"/>
      <c r="R10" s="49"/>
      <c r="S10" s="49"/>
      <c r="T10" s="49"/>
      <c r="U10" s="49"/>
      <c r="V10" s="49"/>
      <c r="W10" s="49"/>
      <c r="X10" s="49"/>
    </row>
    <row r="11" spans="1:25" ht="14.5" customHeight="1" x14ac:dyDescent="0.35">
      <c r="B11" s="327"/>
      <c r="C11" s="327"/>
      <c r="D11" s="332"/>
      <c r="E11" s="332"/>
      <c r="F11" s="332"/>
      <c r="G11" s="332"/>
      <c r="H11" s="332"/>
      <c r="I11" s="332"/>
      <c r="J11" s="332"/>
      <c r="K11" s="332"/>
      <c r="L11" s="329"/>
      <c r="M11" s="327"/>
      <c r="N11" s="49"/>
      <c r="O11" s="49"/>
      <c r="P11" s="49"/>
      <c r="Q11" s="49"/>
      <c r="R11" s="49"/>
      <c r="S11" s="49"/>
      <c r="T11" s="49"/>
      <c r="U11" s="49"/>
      <c r="V11" s="49"/>
      <c r="W11" s="49"/>
      <c r="X11" s="49"/>
    </row>
    <row r="12" spans="1:25" ht="24" customHeight="1" x14ac:dyDescent="0.35">
      <c r="B12" s="327"/>
      <c r="C12" s="327"/>
      <c r="D12" s="332"/>
      <c r="E12" s="332"/>
      <c r="F12" s="332"/>
      <c r="G12" s="332"/>
      <c r="H12" s="332"/>
      <c r="I12" s="332"/>
      <c r="J12" s="332"/>
      <c r="K12" s="332"/>
      <c r="L12" s="329"/>
      <c r="M12" s="327"/>
      <c r="N12" s="49"/>
      <c r="O12" s="49"/>
      <c r="P12" s="49"/>
      <c r="Q12" s="49"/>
      <c r="R12" s="49"/>
      <c r="S12" s="49"/>
      <c r="T12" s="49"/>
      <c r="U12" s="49"/>
      <c r="V12" s="49"/>
      <c r="W12" s="49"/>
      <c r="X12" s="49"/>
    </row>
    <row r="13" spans="1:25" ht="34.5" customHeight="1" x14ac:dyDescent="0.35">
      <c r="B13" s="54" t="s">
        <v>346</v>
      </c>
      <c r="C13" s="55"/>
      <c r="D13" s="56"/>
      <c r="E13" s="56"/>
      <c r="F13" s="56"/>
      <c r="G13" s="56"/>
      <c r="H13" s="56"/>
      <c r="I13" s="56"/>
      <c r="J13" s="56"/>
      <c r="K13" s="56"/>
      <c r="L13" s="56"/>
      <c r="M13" s="46"/>
      <c r="N13" s="49"/>
      <c r="O13" s="49"/>
      <c r="P13" s="49"/>
      <c r="Q13" s="49"/>
      <c r="R13" s="49"/>
      <c r="S13" s="49"/>
      <c r="T13" s="49"/>
      <c r="U13" s="49"/>
      <c r="V13" s="49"/>
      <c r="W13" s="49"/>
      <c r="X13" s="49"/>
    </row>
    <row r="14" spans="1:25" ht="93.5" customHeight="1" x14ac:dyDescent="0.35">
      <c r="B14" s="340" t="s">
        <v>319</v>
      </c>
      <c r="C14" s="340"/>
      <c r="D14" s="340"/>
      <c r="E14" s="340"/>
      <c r="F14" s="340"/>
      <c r="G14" s="340"/>
      <c r="H14" s="340"/>
      <c r="I14" s="340"/>
      <c r="J14" s="340"/>
      <c r="K14" s="340"/>
      <c r="L14" s="340"/>
      <c r="M14" s="340"/>
      <c r="N14" s="49"/>
      <c r="O14" s="49"/>
      <c r="P14" s="49"/>
      <c r="Q14" s="49"/>
      <c r="R14" s="49"/>
      <c r="S14" s="49"/>
      <c r="T14" s="49"/>
      <c r="U14" s="49"/>
      <c r="V14" s="49"/>
      <c r="W14" s="49"/>
      <c r="X14" s="49"/>
    </row>
    <row r="15" spans="1:25" ht="66.5" customHeight="1" x14ac:dyDescent="0.35">
      <c r="B15" s="340" t="s">
        <v>342</v>
      </c>
      <c r="C15" s="340"/>
      <c r="D15" s="340"/>
      <c r="E15" s="340"/>
      <c r="F15" s="340"/>
      <c r="G15" s="340"/>
      <c r="H15" s="340"/>
      <c r="I15" s="340"/>
      <c r="J15" s="340"/>
      <c r="K15" s="340"/>
      <c r="L15" s="340"/>
      <c r="M15" s="340"/>
    </row>
    <row r="16" spans="1:25" ht="40.5" customHeight="1" x14ac:dyDescent="0.35">
      <c r="B16" s="340" t="s">
        <v>320</v>
      </c>
      <c r="C16" s="340"/>
      <c r="D16" s="340"/>
      <c r="E16" s="340"/>
      <c r="F16" s="340"/>
      <c r="G16" s="340"/>
      <c r="H16" s="340"/>
      <c r="I16" s="340"/>
      <c r="J16" s="340"/>
      <c r="K16" s="340"/>
      <c r="L16" s="340"/>
      <c r="M16" s="340"/>
    </row>
    <row r="17" spans="2:13" ht="51" customHeight="1" x14ac:dyDescent="0.35">
      <c r="B17" s="340" t="s">
        <v>299</v>
      </c>
      <c r="C17" s="340"/>
      <c r="D17" s="340"/>
      <c r="E17" s="340"/>
      <c r="F17" s="340"/>
      <c r="G17" s="340"/>
      <c r="H17" s="340"/>
      <c r="I17" s="340"/>
      <c r="J17" s="340"/>
      <c r="K17" s="340"/>
      <c r="L17" s="340"/>
      <c r="M17" s="340"/>
    </row>
    <row r="18" spans="2:13" ht="55.5" customHeight="1" x14ac:dyDescent="0.35">
      <c r="B18" s="340" t="s">
        <v>321</v>
      </c>
      <c r="C18" s="340"/>
      <c r="D18" s="340"/>
      <c r="E18" s="340"/>
      <c r="F18" s="340"/>
      <c r="G18" s="340"/>
      <c r="H18" s="340"/>
      <c r="I18" s="340"/>
      <c r="J18" s="340"/>
      <c r="K18" s="340"/>
      <c r="L18" s="340"/>
      <c r="M18" s="340"/>
    </row>
    <row r="19" spans="2:13" ht="36" customHeight="1" x14ac:dyDescent="0.35">
      <c r="B19" s="57"/>
      <c r="C19" s="55"/>
      <c r="D19" s="58"/>
      <c r="E19" s="58"/>
      <c r="F19" s="58"/>
      <c r="G19" s="58"/>
      <c r="H19" s="58"/>
      <c r="I19" s="58"/>
      <c r="J19" s="58"/>
      <c r="K19" s="58"/>
      <c r="L19" s="59"/>
      <c r="M19" s="55"/>
    </row>
    <row r="20" spans="2:13" s="46" customFormat="1" ht="39" customHeight="1" x14ac:dyDescent="0.35">
      <c r="B20" s="57"/>
      <c r="D20" s="57"/>
      <c r="E20" s="57"/>
      <c r="F20" s="57"/>
      <c r="G20" s="57"/>
      <c r="H20" s="57"/>
      <c r="I20" s="57"/>
      <c r="J20" s="57"/>
      <c r="K20" s="57"/>
      <c r="L20" s="57"/>
      <c r="M20" s="57"/>
    </row>
    <row r="21" spans="2:13" s="46" customFormat="1" ht="34.5" customHeight="1" x14ac:dyDescent="0.35">
      <c r="B21" s="339"/>
      <c r="C21" s="339"/>
      <c r="D21" s="339"/>
      <c r="E21" s="339"/>
      <c r="F21" s="339"/>
      <c r="G21" s="339"/>
      <c r="H21" s="339"/>
      <c r="I21" s="339"/>
      <c r="J21" s="339"/>
      <c r="K21" s="339"/>
      <c r="L21" s="339"/>
      <c r="M21" s="339"/>
    </row>
    <row r="22" spans="2:13" s="46" customFormat="1" x14ac:dyDescent="0.35">
      <c r="D22" s="60"/>
      <c r="E22" s="60"/>
      <c r="F22" s="60"/>
      <c r="G22" s="60"/>
      <c r="H22" s="60"/>
      <c r="I22" s="60"/>
      <c r="J22" s="60"/>
      <c r="K22" s="60"/>
      <c r="L22" s="56"/>
    </row>
    <row r="23" spans="2:13" s="46" customFormat="1" x14ac:dyDescent="0.35">
      <c r="D23" s="338"/>
      <c r="E23" s="338"/>
      <c r="F23" s="338"/>
      <c r="G23" s="338"/>
      <c r="H23" s="338"/>
      <c r="I23" s="338"/>
      <c r="J23" s="338"/>
      <c r="K23" s="338"/>
      <c r="L23" s="56"/>
    </row>
    <row r="24" spans="2:13" s="46" customFormat="1" x14ac:dyDescent="0.35">
      <c r="D24" s="338"/>
      <c r="E24" s="338"/>
      <c r="F24" s="338"/>
      <c r="G24" s="338"/>
      <c r="H24" s="338"/>
      <c r="I24" s="338"/>
      <c r="J24" s="338"/>
      <c r="K24" s="338"/>
      <c r="L24" s="56"/>
    </row>
    <row r="25" spans="2:13" s="46" customFormat="1" x14ac:dyDescent="0.35">
      <c r="D25" s="338"/>
      <c r="E25" s="338"/>
      <c r="F25" s="338"/>
      <c r="G25" s="338"/>
      <c r="H25" s="338"/>
      <c r="I25" s="338"/>
      <c r="J25" s="338"/>
      <c r="K25" s="338"/>
      <c r="L25" s="56"/>
    </row>
    <row r="26" spans="2:13" s="46" customFormat="1" x14ac:dyDescent="0.35">
      <c r="D26" s="338"/>
      <c r="E26" s="338"/>
      <c r="F26" s="338"/>
      <c r="G26" s="338"/>
      <c r="H26" s="338"/>
      <c r="I26" s="338"/>
      <c r="J26" s="338"/>
      <c r="K26" s="338"/>
      <c r="L26" s="56"/>
    </row>
    <row r="27" spans="2:13" s="46" customFormat="1" x14ac:dyDescent="0.35">
      <c r="D27" s="338"/>
      <c r="E27" s="338"/>
      <c r="F27" s="338"/>
      <c r="G27" s="338"/>
      <c r="H27" s="338"/>
      <c r="I27" s="338"/>
      <c r="J27" s="338"/>
      <c r="K27" s="338"/>
      <c r="L27" s="56"/>
    </row>
    <row r="28" spans="2:13" s="46" customFormat="1" x14ac:dyDescent="0.35">
      <c r="D28" s="338"/>
      <c r="E28" s="338"/>
      <c r="F28" s="338"/>
      <c r="G28" s="338"/>
      <c r="H28" s="338"/>
      <c r="I28" s="338"/>
      <c r="J28" s="338"/>
      <c r="K28" s="338"/>
      <c r="L28" s="56"/>
    </row>
    <row r="29" spans="2:13" s="46" customFormat="1" x14ac:dyDescent="0.35">
      <c r="D29" s="338"/>
      <c r="E29" s="338"/>
      <c r="F29" s="338"/>
      <c r="G29" s="338"/>
      <c r="H29" s="338"/>
      <c r="I29" s="338"/>
      <c r="J29" s="338"/>
      <c r="K29" s="338"/>
      <c r="L29" s="56"/>
    </row>
    <row r="30" spans="2:13" s="46" customFormat="1" x14ac:dyDescent="0.35">
      <c r="D30" s="338"/>
      <c r="E30" s="338"/>
      <c r="F30" s="338"/>
      <c r="G30" s="338"/>
      <c r="H30" s="338"/>
      <c r="I30" s="338"/>
      <c r="J30" s="338"/>
      <c r="K30" s="338"/>
      <c r="L30" s="56"/>
    </row>
    <row r="31" spans="2:13" s="46" customFormat="1" x14ac:dyDescent="0.35">
      <c r="D31" s="338"/>
      <c r="E31" s="338"/>
      <c r="F31" s="338"/>
      <c r="G31" s="338"/>
      <c r="H31" s="338"/>
      <c r="I31" s="338"/>
      <c r="J31" s="338"/>
      <c r="K31" s="338"/>
      <c r="L31" s="56"/>
    </row>
    <row r="32" spans="2:13" s="46" customFormat="1" x14ac:dyDescent="0.35">
      <c r="D32" s="338"/>
      <c r="E32" s="338"/>
      <c r="F32" s="338"/>
      <c r="G32" s="338"/>
      <c r="H32" s="338"/>
      <c r="I32" s="338"/>
      <c r="J32" s="338"/>
      <c r="K32" s="338"/>
      <c r="L32" s="56"/>
    </row>
    <row r="33" spans="4:12" s="46" customFormat="1" x14ac:dyDescent="0.35">
      <c r="D33" s="338"/>
      <c r="E33" s="338"/>
      <c r="F33" s="338"/>
      <c r="G33" s="338"/>
      <c r="H33" s="338"/>
      <c r="I33" s="338"/>
      <c r="J33" s="338"/>
      <c r="K33" s="338"/>
      <c r="L33" s="56"/>
    </row>
    <row r="34" spans="4:12" s="46" customFormat="1" x14ac:dyDescent="0.35">
      <c r="D34" s="338"/>
      <c r="E34" s="338"/>
      <c r="F34" s="338"/>
      <c r="G34" s="338"/>
      <c r="H34" s="338"/>
      <c r="I34" s="338"/>
      <c r="J34" s="338"/>
      <c r="K34" s="338"/>
      <c r="L34" s="56"/>
    </row>
    <row r="35" spans="4:12" s="46" customFormat="1" x14ac:dyDescent="0.35">
      <c r="D35" s="338"/>
      <c r="E35" s="338"/>
      <c r="F35" s="338"/>
      <c r="G35" s="338"/>
      <c r="H35" s="338"/>
      <c r="I35" s="338"/>
      <c r="J35" s="338"/>
      <c r="K35" s="338"/>
      <c r="L35" s="56"/>
    </row>
    <row r="36" spans="4:12" s="46" customFormat="1" x14ac:dyDescent="0.35"/>
    <row r="37" spans="4:12" s="46" customFormat="1" x14ac:dyDescent="0.35"/>
    <row r="38" spans="4:12" s="46" customFormat="1" x14ac:dyDescent="0.35"/>
    <row r="39" spans="4:12" s="46" customFormat="1" x14ac:dyDescent="0.35"/>
    <row r="40" spans="4:12" s="46" customFormat="1" x14ac:dyDescent="0.35"/>
    <row r="41" spans="4:12" s="46" customFormat="1" x14ac:dyDescent="0.35"/>
    <row r="42" spans="4:12" s="46" customFormat="1" x14ac:dyDescent="0.35"/>
    <row r="43" spans="4:12" s="46" customFormat="1" x14ac:dyDescent="0.35"/>
    <row r="44" spans="4:12" s="46" customFormat="1" x14ac:dyDescent="0.35"/>
    <row r="45" spans="4:12" s="46" customFormat="1" x14ac:dyDescent="0.35"/>
    <row r="46" spans="4:12" s="46" customFormat="1" x14ac:dyDescent="0.35"/>
    <row r="47" spans="4:12" s="46" customFormat="1" x14ac:dyDescent="0.35"/>
    <row r="48" spans="4:12" s="46" customFormat="1" x14ac:dyDescent="0.35"/>
    <row r="49" s="46" customFormat="1" x14ac:dyDescent="0.35"/>
    <row r="50" s="46" customFormat="1" x14ac:dyDescent="0.35"/>
    <row r="51" s="46" customFormat="1" x14ac:dyDescent="0.35"/>
    <row r="52" s="46" customFormat="1" x14ac:dyDescent="0.35"/>
    <row r="53" s="46" customFormat="1" x14ac:dyDescent="0.35"/>
    <row r="54" s="46" customFormat="1" x14ac:dyDescent="0.35"/>
    <row r="55" s="46" customFormat="1" x14ac:dyDescent="0.35"/>
    <row r="56" s="46" customFormat="1" x14ac:dyDescent="0.35"/>
    <row r="57" s="46" customFormat="1" x14ac:dyDescent="0.35"/>
    <row r="58" s="46" customFormat="1" x14ac:dyDescent="0.35"/>
    <row r="59" s="46" customFormat="1" x14ac:dyDescent="0.35"/>
    <row r="60" s="46" customFormat="1" x14ac:dyDescent="0.35"/>
    <row r="61" s="46" customFormat="1" x14ac:dyDescent="0.35"/>
    <row r="62" s="46" customFormat="1" x14ac:dyDescent="0.35"/>
    <row r="63" s="46" customFormat="1" x14ac:dyDescent="0.35"/>
    <row r="64" s="46" customFormat="1" x14ac:dyDescent="0.35"/>
    <row r="65" s="46" customFormat="1" x14ac:dyDescent="0.35"/>
    <row r="66" s="46" customFormat="1" x14ac:dyDescent="0.35"/>
    <row r="67" s="46" customFormat="1" x14ac:dyDescent="0.35"/>
    <row r="68" s="46" customFormat="1" x14ac:dyDescent="0.35"/>
    <row r="69" s="46" customFormat="1" x14ac:dyDescent="0.35"/>
    <row r="70" s="46" customFormat="1" x14ac:dyDescent="0.35"/>
    <row r="71" s="46" customFormat="1" x14ac:dyDescent="0.35"/>
    <row r="72" s="46" customFormat="1" x14ac:dyDescent="0.35"/>
    <row r="73" s="46" customFormat="1" x14ac:dyDescent="0.35"/>
    <row r="74" s="46" customFormat="1" x14ac:dyDescent="0.35"/>
    <row r="75" s="46" customFormat="1" x14ac:dyDescent="0.35"/>
    <row r="76" s="46" customFormat="1" x14ac:dyDescent="0.35"/>
    <row r="77" s="46" customFormat="1" x14ac:dyDescent="0.35"/>
    <row r="78" s="46" customFormat="1" x14ac:dyDescent="0.35"/>
    <row r="79" s="46" customFormat="1" x14ac:dyDescent="0.35"/>
    <row r="80" s="46" customFormat="1" x14ac:dyDescent="0.35"/>
    <row r="81" s="46" customFormat="1" x14ac:dyDescent="0.35"/>
    <row r="82" s="46" customFormat="1" x14ac:dyDescent="0.35"/>
    <row r="83" s="46" customFormat="1" x14ac:dyDescent="0.35"/>
    <row r="84" s="46" customFormat="1" x14ac:dyDescent="0.35"/>
    <row r="85" s="46" customFormat="1" x14ac:dyDescent="0.35"/>
    <row r="86" s="46" customFormat="1" x14ac:dyDescent="0.35"/>
    <row r="87" s="46" customFormat="1" x14ac:dyDescent="0.35"/>
    <row r="88" s="46" customFormat="1" x14ac:dyDescent="0.35"/>
    <row r="89" s="46" customFormat="1" x14ac:dyDescent="0.35"/>
    <row r="90" s="46" customFormat="1" x14ac:dyDescent="0.35"/>
    <row r="91" s="46" customFormat="1" x14ac:dyDescent="0.35"/>
    <row r="92" s="46" customFormat="1" x14ac:dyDescent="0.35"/>
    <row r="93" s="46" customFormat="1" x14ac:dyDescent="0.35"/>
    <row r="94" s="46" customFormat="1" x14ac:dyDescent="0.35"/>
    <row r="95" s="46" customFormat="1" x14ac:dyDescent="0.35"/>
    <row r="96" s="46" customFormat="1" x14ac:dyDescent="0.35"/>
    <row r="97" s="46" customFormat="1" x14ac:dyDescent="0.35"/>
    <row r="98" s="46" customFormat="1" x14ac:dyDescent="0.35"/>
    <row r="99" s="46" customFormat="1" x14ac:dyDescent="0.35"/>
    <row r="100" s="46" customFormat="1" x14ac:dyDescent="0.35"/>
    <row r="101" s="46" customFormat="1" x14ac:dyDescent="0.35"/>
    <row r="102" s="46" customFormat="1" x14ac:dyDescent="0.35"/>
    <row r="103" s="46" customFormat="1" x14ac:dyDescent="0.35"/>
    <row r="104" s="46" customFormat="1" x14ac:dyDescent="0.35"/>
    <row r="105" s="46" customFormat="1" x14ac:dyDescent="0.35"/>
    <row r="106" s="46" customFormat="1" x14ac:dyDescent="0.35"/>
    <row r="107" s="46" customFormat="1" x14ac:dyDescent="0.35"/>
    <row r="108" s="46" customFormat="1" x14ac:dyDescent="0.35"/>
    <row r="109" s="46" customFormat="1" x14ac:dyDescent="0.35"/>
    <row r="110" s="46" customFormat="1" x14ac:dyDescent="0.35"/>
    <row r="111" s="46" customFormat="1" x14ac:dyDescent="0.35"/>
    <row r="112" s="46" customFormat="1" x14ac:dyDescent="0.35"/>
    <row r="113" s="46" customFormat="1" x14ac:dyDescent="0.35"/>
    <row r="114" s="46" customFormat="1" x14ac:dyDescent="0.35"/>
    <row r="115" s="46" customFormat="1" x14ac:dyDescent="0.35"/>
    <row r="116" s="46" customFormat="1" x14ac:dyDescent="0.35"/>
    <row r="117" s="46" customFormat="1" x14ac:dyDescent="0.35"/>
    <row r="118" s="46" customFormat="1" x14ac:dyDescent="0.35"/>
    <row r="119" s="46" customFormat="1" x14ac:dyDescent="0.35"/>
    <row r="120" s="46" customFormat="1" x14ac:dyDescent="0.35"/>
    <row r="121" s="46" customFormat="1" x14ac:dyDescent="0.35"/>
    <row r="122" s="46" customFormat="1" x14ac:dyDescent="0.35"/>
    <row r="123" s="46" customFormat="1" x14ac:dyDescent="0.35"/>
    <row r="124" s="46" customFormat="1" x14ac:dyDescent="0.35"/>
    <row r="125" s="46" customFormat="1" x14ac:dyDescent="0.35"/>
    <row r="126" s="46" customFormat="1" x14ac:dyDescent="0.35"/>
    <row r="127" s="46" customFormat="1" x14ac:dyDescent="0.35"/>
    <row r="128" s="46" customFormat="1" x14ac:dyDescent="0.35"/>
    <row r="129" s="46" customFormat="1" x14ac:dyDescent="0.35"/>
    <row r="130" s="46" customFormat="1" x14ac:dyDescent="0.35"/>
    <row r="131" s="46" customFormat="1" x14ac:dyDescent="0.35"/>
    <row r="132" s="46" customFormat="1" x14ac:dyDescent="0.35"/>
    <row r="133" s="46" customFormat="1" x14ac:dyDescent="0.35"/>
    <row r="134" s="46" customFormat="1" x14ac:dyDescent="0.35"/>
    <row r="135" s="46" customFormat="1" x14ac:dyDescent="0.35"/>
    <row r="136" s="46" customFormat="1" x14ac:dyDescent="0.35"/>
    <row r="137" s="46" customFormat="1" x14ac:dyDescent="0.35"/>
    <row r="138" s="46" customFormat="1" x14ac:dyDescent="0.35"/>
    <row r="139" s="46" customFormat="1" x14ac:dyDescent="0.35"/>
    <row r="140" s="46" customFormat="1" x14ac:dyDescent="0.35"/>
    <row r="141" s="46" customFormat="1" x14ac:dyDescent="0.35"/>
    <row r="142" s="46" customFormat="1" x14ac:dyDescent="0.35"/>
    <row r="143" s="46" customFormat="1" x14ac:dyDescent="0.35"/>
    <row r="144" s="46" customFormat="1" x14ac:dyDescent="0.35"/>
    <row r="145" s="46" customFormat="1" x14ac:dyDescent="0.35"/>
    <row r="146" s="46" customFormat="1" x14ac:dyDescent="0.35"/>
    <row r="147" s="46" customFormat="1" x14ac:dyDescent="0.35"/>
    <row r="148" s="46" customFormat="1" x14ac:dyDescent="0.35"/>
    <row r="149" s="46" customFormat="1" x14ac:dyDescent="0.35"/>
    <row r="150" s="46" customFormat="1" x14ac:dyDescent="0.35"/>
    <row r="151" s="46" customFormat="1" x14ac:dyDescent="0.35"/>
    <row r="152" s="46" customFormat="1" x14ac:dyDescent="0.35"/>
    <row r="153" s="46" customFormat="1" x14ac:dyDescent="0.35"/>
    <row r="154" s="46" customFormat="1" x14ac:dyDescent="0.35"/>
    <row r="155" s="46" customFormat="1" x14ac:dyDescent="0.35"/>
    <row r="156" s="46" customFormat="1" x14ac:dyDescent="0.35"/>
    <row r="157" s="46" customFormat="1" x14ac:dyDescent="0.35"/>
    <row r="158" s="46" customFormat="1" x14ac:dyDescent="0.35"/>
    <row r="159" s="46" customFormat="1" x14ac:dyDescent="0.35"/>
    <row r="160" s="46" customFormat="1" x14ac:dyDescent="0.35"/>
    <row r="161" s="46" customFormat="1" x14ac:dyDescent="0.35"/>
    <row r="162" s="46" customFormat="1" x14ac:dyDescent="0.35"/>
    <row r="163" s="46" customFormat="1" x14ac:dyDescent="0.35"/>
    <row r="164" s="46" customFormat="1" x14ac:dyDescent="0.35"/>
    <row r="165" s="46" customFormat="1" x14ac:dyDescent="0.35"/>
    <row r="166" s="46" customFormat="1" x14ac:dyDescent="0.35"/>
    <row r="167" s="46" customFormat="1" x14ac:dyDescent="0.35"/>
    <row r="168" s="46" customFormat="1" x14ac:dyDescent="0.35"/>
    <row r="169" s="46" customFormat="1" x14ac:dyDescent="0.35"/>
    <row r="170" s="46" customFormat="1" x14ac:dyDescent="0.35"/>
    <row r="171" s="46" customFormat="1" x14ac:dyDescent="0.35"/>
    <row r="172" s="46" customFormat="1" x14ac:dyDescent="0.35"/>
    <row r="173" s="46" customFormat="1" x14ac:dyDescent="0.35"/>
    <row r="174" s="46" customFormat="1" x14ac:dyDescent="0.35"/>
    <row r="175" s="46" customFormat="1" x14ac:dyDescent="0.35"/>
    <row r="176" s="46" customFormat="1" x14ac:dyDescent="0.35"/>
    <row r="177" s="46" customFormat="1" x14ac:dyDescent="0.35"/>
    <row r="178" s="46" customFormat="1" x14ac:dyDescent="0.35"/>
    <row r="179" s="46" customFormat="1" x14ac:dyDescent="0.35"/>
    <row r="180" s="46" customFormat="1" x14ac:dyDescent="0.35"/>
  </sheetData>
  <sheetProtection sheet="1" objects="1" scenarios="1" formatColumns="0" formatRows="0"/>
  <mergeCells count="30">
    <mergeCell ref="D23:K23"/>
    <mergeCell ref="D24:K24"/>
    <mergeCell ref="B21:M21"/>
    <mergeCell ref="B14:M14"/>
    <mergeCell ref="B16:M16"/>
    <mergeCell ref="B15:M15"/>
    <mergeCell ref="B17:M17"/>
    <mergeCell ref="B18:M18"/>
    <mergeCell ref="D33:K33"/>
    <mergeCell ref="D34:K34"/>
    <mergeCell ref="D35:K35"/>
    <mergeCell ref="D25:K25"/>
    <mergeCell ref="D26:K26"/>
    <mergeCell ref="D27:K27"/>
    <mergeCell ref="D28:K28"/>
    <mergeCell ref="D29:K29"/>
    <mergeCell ref="D30:K30"/>
    <mergeCell ref="D31:K31"/>
    <mergeCell ref="D32:K32"/>
    <mergeCell ref="D11:K11"/>
    <mergeCell ref="D12:K12"/>
    <mergeCell ref="D1:K1"/>
    <mergeCell ref="D2:K2"/>
    <mergeCell ref="D6:K6"/>
    <mergeCell ref="D7:K7"/>
    <mergeCell ref="D8:K8"/>
    <mergeCell ref="D9:K9"/>
    <mergeCell ref="D10:K10"/>
    <mergeCell ref="D4:K4"/>
    <mergeCell ref="C3:L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DBEEF4"/>
  </sheetPr>
  <dimension ref="B1:R60"/>
  <sheetViews>
    <sheetView showGridLines="0" zoomScaleNormal="100" workbookViewId="0">
      <selection activeCell="F81" sqref="F81"/>
    </sheetView>
  </sheetViews>
  <sheetFormatPr defaultColWidth="8.81640625" defaultRowHeight="15" customHeight="1" x14ac:dyDescent="0.3"/>
  <cols>
    <col min="1" max="1" width="1.81640625" style="218" customWidth="1"/>
    <col min="2" max="2" width="7.453125" style="218" customWidth="1"/>
    <col min="3" max="7" width="13.54296875" style="218" customWidth="1"/>
    <col min="8" max="9" width="10.54296875" style="218" customWidth="1"/>
    <col min="10" max="10" width="11.26953125" style="218" customWidth="1"/>
    <col min="11" max="14" width="10.54296875" style="218" customWidth="1"/>
    <col min="15" max="16384" width="8.81640625" style="218"/>
  </cols>
  <sheetData>
    <row r="1" spans="2:18" ht="15" customHeight="1" thickBot="1" x14ac:dyDescent="0.35"/>
    <row r="2" spans="2:18" ht="33.65" customHeight="1" x14ac:dyDescent="0.3">
      <c r="B2" s="365" t="s">
        <v>0</v>
      </c>
      <c r="C2" s="366"/>
      <c r="D2" s="366"/>
      <c r="E2" s="366"/>
      <c r="F2" s="366"/>
      <c r="G2" s="366"/>
      <c r="H2" s="366"/>
      <c r="I2" s="366"/>
      <c r="J2" s="366"/>
      <c r="K2" s="366"/>
      <c r="L2" s="366"/>
      <c r="M2" s="366"/>
      <c r="N2" s="367"/>
    </row>
    <row r="3" spans="2:18" ht="15" customHeight="1" x14ac:dyDescent="0.3">
      <c r="B3" s="219" t="s">
        <v>12</v>
      </c>
      <c r="C3" s="220"/>
      <c r="D3" s="220"/>
      <c r="E3" s="221"/>
      <c r="F3" s="221"/>
      <c r="G3" s="222"/>
      <c r="H3" s="222"/>
      <c r="N3" s="223"/>
    </row>
    <row r="4" spans="2:18" s="224" customFormat="1" ht="77" customHeight="1" x14ac:dyDescent="0.35">
      <c r="B4" s="374" t="s">
        <v>185</v>
      </c>
      <c r="C4" s="345"/>
      <c r="D4" s="345"/>
      <c r="E4" s="345"/>
      <c r="F4" s="345"/>
      <c r="G4" s="345"/>
      <c r="H4" s="345"/>
      <c r="I4" s="345"/>
      <c r="J4" s="345"/>
      <c r="K4" s="345"/>
      <c r="L4" s="345"/>
      <c r="M4" s="345"/>
      <c r="N4" s="375"/>
    </row>
    <row r="5" spans="2:18" ht="15" customHeight="1" x14ac:dyDescent="0.3">
      <c r="B5" s="225" t="s">
        <v>13</v>
      </c>
      <c r="C5" s="226"/>
      <c r="D5" s="226"/>
      <c r="E5" s="226" t="s">
        <v>14</v>
      </c>
      <c r="F5" s="226" t="s">
        <v>15</v>
      </c>
      <c r="G5" s="227"/>
      <c r="H5" s="227"/>
      <c r="I5" s="228"/>
      <c r="J5" s="228"/>
      <c r="K5" s="229"/>
      <c r="L5" s="228"/>
      <c r="M5" s="228"/>
      <c r="N5" s="230"/>
    </row>
    <row r="6" spans="2:18" ht="17.149999999999999" customHeight="1" x14ac:dyDescent="0.3">
      <c r="B6" s="231" t="s">
        <v>1</v>
      </c>
      <c r="E6" s="26">
        <v>6500</v>
      </c>
      <c r="F6" s="379" t="s">
        <v>2</v>
      </c>
      <c r="G6" s="380"/>
      <c r="H6" s="380"/>
      <c r="I6" s="380"/>
      <c r="J6" s="380"/>
      <c r="K6" s="380"/>
      <c r="L6" s="380"/>
      <c r="M6" s="380"/>
      <c r="N6" s="381"/>
    </row>
    <row r="7" spans="2:18" ht="32" customHeight="1" x14ac:dyDescent="0.3">
      <c r="B7" s="231" t="s">
        <v>268</v>
      </c>
      <c r="E7" s="28">
        <v>0.7</v>
      </c>
      <c r="F7" s="379" t="s">
        <v>340</v>
      </c>
      <c r="G7" s="380"/>
      <c r="H7" s="380"/>
      <c r="I7" s="380"/>
      <c r="J7" s="380"/>
      <c r="K7" s="380"/>
      <c r="L7" s="380"/>
      <c r="M7" s="380"/>
      <c r="N7" s="381"/>
    </row>
    <row r="8" spans="2:18" ht="23.5" customHeight="1" x14ac:dyDescent="0.3">
      <c r="B8" s="231" t="s">
        <v>269</v>
      </c>
      <c r="E8" s="28">
        <v>0.1</v>
      </c>
      <c r="F8" s="379" t="s">
        <v>16</v>
      </c>
      <c r="G8" s="380"/>
      <c r="H8" s="380"/>
      <c r="I8" s="380"/>
      <c r="J8" s="380"/>
      <c r="K8" s="380"/>
      <c r="L8" s="380"/>
      <c r="M8" s="380"/>
      <c r="N8" s="381"/>
    </row>
    <row r="9" spans="2:18" ht="28.5" customHeight="1" x14ac:dyDescent="0.3">
      <c r="B9" s="231" t="s">
        <v>270</v>
      </c>
      <c r="E9" s="26">
        <v>10</v>
      </c>
      <c r="F9" s="379" t="s">
        <v>341</v>
      </c>
      <c r="G9" s="380"/>
      <c r="H9" s="380"/>
      <c r="I9" s="380"/>
      <c r="J9" s="380"/>
      <c r="K9" s="380"/>
      <c r="L9" s="380"/>
      <c r="M9" s="380"/>
      <c r="N9" s="381"/>
    </row>
    <row r="10" spans="2:18" ht="17.149999999999999" customHeight="1" x14ac:dyDescent="0.3">
      <c r="B10" s="231" t="s">
        <v>271</v>
      </c>
      <c r="E10" s="28">
        <v>0.15</v>
      </c>
      <c r="F10" s="379" t="s">
        <v>272</v>
      </c>
      <c r="G10" s="380"/>
      <c r="H10" s="380"/>
      <c r="I10" s="380"/>
      <c r="J10" s="380"/>
      <c r="K10" s="380"/>
      <c r="L10" s="380"/>
      <c r="M10" s="380"/>
      <c r="N10" s="381"/>
    </row>
    <row r="11" spans="2:18" ht="17.149999999999999" customHeight="1" x14ac:dyDescent="0.3">
      <c r="B11" s="231" t="s">
        <v>4</v>
      </c>
      <c r="E11" s="27">
        <v>0.06</v>
      </c>
      <c r="F11" s="379" t="s">
        <v>273</v>
      </c>
      <c r="G11" s="380"/>
      <c r="H11" s="380"/>
      <c r="I11" s="380"/>
      <c r="J11" s="380"/>
      <c r="K11" s="380"/>
      <c r="L11" s="380"/>
      <c r="M11" s="380"/>
      <c r="N11" s="381"/>
      <c r="R11" s="218">
        <f>90/20</f>
        <v>4.5</v>
      </c>
    </row>
    <row r="12" spans="2:18" ht="16.399999999999999" customHeight="1" x14ac:dyDescent="0.35">
      <c r="B12" s="232" t="s">
        <v>250</v>
      </c>
      <c r="C12" s="233"/>
      <c r="D12" s="233"/>
      <c r="E12" s="32">
        <v>0.9</v>
      </c>
      <c r="F12" s="382" t="s">
        <v>251</v>
      </c>
      <c r="G12" s="383"/>
      <c r="H12" s="383"/>
      <c r="I12" s="383"/>
      <c r="J12" s="383"/>
      <c r="K12" s="383"/>
      <c r="L12" s="383"/>
      <c r="M12" s="383"/>
      <c r="N12" s="384"/>
    </row>
    <row r="13" spans="2:18" s="36" customFormat="1" ht="16.399999999999999" customHeight="1" x14ac:dyDescent="0.35">
      <c r="B13" s="234"/>
      <c r="N13" s="235"/>
    </row>
    <row r="14" spans="2:18" ht="27.65" customHeight="1" x14ac:dyDescent="0.3">
      <c r="B14" s="236" t="s">
        <v>5</v>
      </c>
      <c r="C14" s="237" t="s">
        <v>252</v>
      </c>
      <c r="D14" s="237" t="s">
        <v>7</v>
      </c>
      <c r="E14" s="237" t="s">
        <v>6</v>
      </c>
      <c r="F14" s="238" t="s">
        <v>253</v>
      </c>
      <c r="G14" s="208"/>
      <c r="H14" s="208"/>
      <c r="N14" s="223"/>
    </row>
    <row r="15" spans="2:18" ht="15" customHeight="1" x14ac:dyDescent="0.3">
      <c r="B15" s="239" t="s">
        <v>69</v>
      </c>
      <c r="C15" s="240" t="s">
        <v>38</v>
      </c>
      <c r="D15" s="240" t="s">
        <v>38</v>
      </c>
      <c r="E15" s="240" t="s">
        <v>38</v>
      </c>
      <c r="F15" s="241" t="s">
        <v>38</v>
      </c>
      <c r="G15" s="208"/>
      <c r="H15" s="208"/>
      <c r="N15" s="223"/>
    </row>
    <row r="16" spans="2:18" ht="13" customHeight="1" x14ac:dyDescent="0.3">
      <c r="B16" s="242">
        <v>1</v>
      </c>
      <c r="C16" s="243">
        <f t="shared" ref="C16:C35" si="0">$E$6*(1-$E$7)*$E$10</f>
        <v>292.5</v>
      </c>
      <c r="D16" s="244">
        <f>IF(F40&gt;$E$6*$E$11,$E$6*$E$11,F40)</f>
        <v>390</v>
      </c>
      <c r="E16" s="243">
        <f t="shared" ref="E16:E35" si="1">IF(B16&lt;=$E$9,-IPMT($E$8,B16,$E$9,$E$6*$E$7),0)</f>
        <v>455</v>
      </c>
      <c r="F16" s="245">
        <f t="shared" ref="F16:F35" si="2">E16+D16+C16</f>
        <v>1137.5</v>
      </c>
      <c r="G16" s="208"/>
      <c r="H16" s="208"/>
      <c r="N16" s="223"/>
    </row>
    <row r="17" spans="2:14" ht="13" customHeight="1" x14ac:dyDescent="0.3">
      <c r="B17" s="246">
        <v>2</v>
      </c>
      <c r="C17" s="243">
        <f t="shared" si="0"/>
        <v>292.5</v>
      </c>
      <c r="D17" s="244">
        <f t="shared" ref="D17:D35" si="3">IF(F41&gt;$E$6*$E$11,$E$6*$E$11,F41)</f>
        <v>390</v>
      </c>
      <c r="E17" s="243">
        <f t="shared" si="1"/>
        <v>426.45084532845726</v>
      </c>
      <c r="F17" s="245">
        <f t="shared" si="2"/>
        <v>1108.9508453284573</v>
      </c>
      <c r="G17" s="208"/>
      <c r="H17" s="208"/>
      <c r="N17" s="223"/>
    </row>
    <row r="18" spans="2:14" ht="13" customHeight="1" x14ac:dyDescent="0.3">
      <c r="B18" s="246">
        <v>3</v>
      </c>
      <c r="C18" s="243">
        <f t="shared" si="0"/>
        <v>292.5</v>
      </c>
      <c r="D18" s="244">
        <f t="shared" si="3"/>
        <v>390</v>
      </c>
      <c r="E18" s="243">
        <f t="shared" si="1"/>
        <v>395.04677518976018</v>
      </c>
      <c r="F18" s="245">
        <f t="shared" si="2"/>
        <v>1077.5467751897602</v>
      </c>
      <c r="G18" s="208"/>
      <c r="H18" s="208"/>
      <c r="N18" s="223"/>
    </row>
    <row r="19" spans="2:14" ht="13" customHeight="1" x14ac:dyDescent="0.3">
      <c r="B19" s="246">
        <v>4</v>
      </c>
      <c r="C19" s="243">
        <f t="shared" si="0"/>
        <v>292.5</v>
      </c>
      <c r="D19" s="244">
        <f t="shared" si="3"/>
        <v>390</v>
      </c>
      <c r="E19" s="243">
        <f t="shared" si="1"/>
        <v>360.50229803719344</v>
      </c>
      <c r="F19" s="245">
        <f t="shared" si="2"/>
        <v>1043.0022980371934</v>
      </c>
      <c r="G19" s="208"/>
      <c r="H19" s="208"/>
      <c r="N19" s="223"/>
    </row>
    <row r="20" spans="2:14" ht="13" customHeight="1" x14ac:dyDescent="0.3">
      <c r="B20" s="246">
        <v>5</v>
      </c>
      <c r="C20" s="243">
        <f t="shared" si="0"/>
        <v>292.5</v>
      </c>
      <c r="D20" s="244">
        <f t="shared" si="3"/>
        <v>390</v>
      </c>
      <c r="E20" s="243">
        <f t="shared" si="1"/>
        <v>322.50337316936992</v>
      </c>
      <c r="F20" s="245">
        <f t="shared" si="2"/>
        <v>1005.00337316937</v>
      </c>
      <c r="G20" s="208"/>
      <c r="H20" s="208"/>
      <c r="N20" s="223"/>
    </row>
    <row r="21" spans="2:14" ht="13" customHeight="1" x14ac:dyDescent="0.3">
      <c r="B21" s="246">
        <v>6</v>
      </c>
      <c r="C21" s="243">
        <f t="shared" si="0"/>
        <v>292.5</v>
      </c>
      <c r="D21" s="244">
        <f t="shared" si="3"/>
        <v>390</v>
      </c>
      <c r="E21" s="243">
        <f t="shared" si="1"/>
        <v>280.70455581476415</v>
      </c>
      <c r="F21" s="245">
        <f t="shared" si="2"/>
        <v>963.20455581476415</v>
      </c>
      <c r="G21" s="208"/>
      <c r="H21" s="208"/>
      <c r="N21" s="223"/>
    </row>
    <row r="22" spans="2:14" ht="13" customHeight="1" x14ac:dyDescent="0.3">
      <c r="B22" s="246">
        <v>7</v>
      </c>
      <c r="C22" s="243">
        <f t="shared" si="0"/>
        <v>292.5</v>
      </c>
      <c r="D22" s="244">
        <f t="shared" si="3"/>
        <v>390</v>
      </c>
      <c r="E22" s="243">
        <f t="shared" si="1"/>
        <v>234.72585672469782</v>
      </c>
      <c r="F22" s="245">
        <f t="shared" si="2"/>
        <v>917.22585672469779</v>
      </c>
      <c r="G22" s="208"/>
      <c r="H22" s="208"/>
      <c r="N22" s="223"/>
    </row>
    <row r="23" spans="2:14" ht="13" customHeight="1" x14ac:dyDescent="0.3">
      <c r="B23" s="246">
        <v>8</v>
      </c>
      <c r="C23" s="243">
        <f t="shared" si="0"/>
        <v>292.5</v>
      </c>
      <c r="D23" s="244">
        <f t="shared" si="3"/>
        <v>390</v>
      </c>
      <c r="E23" s="243">
        <f t="shared" si="1"/>
        <v>184.14928772562476</v>
      </c>
      <c r="F23" s="245">
        <f t="shared" si="2"/>
        <v>866.64928772562473</v>
      </c>
      <c r="G23" s="208"/>
      <c r="H23" s="208"/>
      <c r="N23" s="223"/>
    </row>
    <row r="24" spans="2:14" ht="13" customHeight="1" x14ac:dyDescent="0.3">
      <c r="B24" s="246">
        <v>9</v>
      </c>
      <c r="C24" s="243">
        <f t="shared" si="0"/>
        <v>292.5</v>
      </c>
      <c r="D24" s="244">
        <f t="shared" si="3"/>
        <v>390</v>
      </c>
      <c r="E24" s="243">
        <f t="shared" si="1"/>
        <v>128.51506182664448</v>
      </c>
      <c r="F24" s="245">
        <f t="shared" si="2"/>
        <v>811.01506182664446</v>
      </c>
      <c r="G24" s="208"/>
      <c r="H24" s="208"/>
      <c r="N24" s="223"/>
    </row>
    <row r="25" spans="2:14" ht="13" customHeight="1" x14ac:dyDescent="0.3">
      <c r="B25" s="246">
        <v>10</v>
      </c>
      <c r="C25" s="243">
        <f t="shared" si="0"/>
        <v>292.5</v>
      </c>
      <c r="D25" s="244">
        <f t="shared" si="3"/>
        <v>390</v>
      </c>
      <c r="E25" s="243">
        <f t="shared" si="1"/>
        <v>67.317413337766169</v>
      </c>
      <c r="F25" s="245">
        <f t="shared" si="2"/>
        <v>749.8174133377662</v>
      </c>
      <c r="G25" s="208"/>
      <c r="H25" s="208"/>
      <c r="N25" s="223"/>
    </row>
    <row r="26" spans="2:14" ht="13" customHeight="1" x14ac:dyDescent="0.3">
      <c r="B26" s="246">
        <v>11</v>
      </c>
      <c r="C26" s="243">
        <f t="shared" si="0"/>
        <v>292.5</v>
      </c>
      <c r="D26" s="244">
        <f t="shared" si="3"/>
        <v>390</v>
      </c>
      <c r="E26" s="243">
        <f t="shared" si="1"/>
        <v>0</v>
      </c>
      <c r="F26" s="245">
        <f t="shared" si="2"/>
        <v>682.5</v>
      </c>
      <c r="G26" s="208"/>
      <c r="H26" s="208"/>
      <c r="N26" s="223"/>
    </row>
    <row r="27" spans="2:14" ht="13" customHeight="1" x14ac:dyDescent="0.3">
      <c r="B27" s="246">
        <v>12</v>
      </c>
      <c r="C27" s="243">
        <f t="shared" si="0"/>
        <v>292.5</v>
      </c>
      <c r="D27" s="244">
        <f t="shared" si="3"/>
        <v>390</v>
      </c>
      <c r="E27" s="243">
        <f t="shared" si="1"/>
        <v>0</v>
      </c>
      <c r="F27" s="245">
        <f t="shared" si="2"/>
        <v>682.5</v>
      </c>
      <c r="G27" s="208"/>
      <c r="H27" s="208"/>
      <c r="N27" s="223"/>
    </row>
    <row r="28" spans="2:14" ht="13" customHeight="1" x14ac:dyDescent="0.3">
      <c r="B28" s="246">
        <v>13</v>
      </c>
      <c r="C28" s="243">
        <f t="shared" si="0"/>
        <v>292.5</v>
      </c>
      <c r="D28" s="244">
        <f t="shared" si="3"/>
        <v>390</v>
      </c>
      <c r="E28" s="243">
        <f t="shared" si="1"/>
        <v>0</v>
      </c>
      <c r="F28" s="245">
        <f t="shared" si="2"/>
        <v>682.5</v>
      </c>
      <c r="G28" s="208"/>
      <c r="H28" s="208"/>
      <c r="N28" s="223"/>
    </row>
    <row r="29" spans="2:14" ht="13" customHeight="1" x14ac:dyDescent="0.3">
      <c r="B29" s="246">
        <v>14</v>
      </c>
      <c r="C29" s="243">
        <f t="shared" si="0"/>
        <v>292.5</v>
      </c>
      <c r="D29" s="244">
        <f t="shared" si="3"/>
        <v>390</v>
      </c>
      <c r="E29" s="243">
        <f t="shared" si="1"/>
        <v>0</v>
      </c>
      <c r="F29" s="245">
        <f t="shared" si="2"/>
        <v>682.5</v>
      </c>
      <c r="G29" s="208"/>
      <c r="H29" s="208"/>
      <c r="N29" s="223"/>
    </row>
    <row r="30" spans="2:14" ht="13" customHeight="1" x14ac:dyDescent="0.3">
      <c r="B30" s="246">
        <v>15</v>
      </c>
      <c r="C30" s="243">
        <f t="shared" si="0"/>
        <v>292.5</v>
      </c>
      <c r="D30" s="244">
        <f t="shared" si="3"/>
        <v>390</v>
      </c>
      <c r="E30" s="243">
        <f t="shared" si="1"/>
        <v>0</v>
      </c>
      <c r="F30" s="245">
        <f t="shared" si="2"/>
        <v>682.5</v>
      </c>
      <c r="G30" s="208"/>
      <c r="H30" s="208"/>
      <c r="N30" s="223"/>
    </row>
    <row r="31" spans="2:14" ht="13" customHeight="1" x14ac:dyDescent="0.3">
      <c r="B31" s="246">
        <v>16</v>
      </c>
      <c r="C31" s="243">
        <f t="shared" si="0"/>
        <v>292.5</v>
      </c>
      <c r="D31" s="244">
        <f t="shared" si="3"/>
        <v>0</v>
      </c>
      <c r="E31" s="243">
        <f t="shared" si="1"/>
        <v>0</v>
      </c>
      <c r="F31" s="245">
        <f t="shared" si="2"/>
        <v>292.5</v>
      </c>
      <c r="G31" s="208"/>
      <c r="H31" s="208"/>
      <c r="N31" s="223"/>
    </row>
    <row r="32" spans="2:14" ht="13" customHeight="1" x14ac:dyDescent="0.3">
      <c r="B32" s="246">
        <v>17</v>
      </c>
      <c r="C32" s="243">
        <f t="shared" si="0"/>
        <v>292.5</v>
      </c>
      <c r="D32" s="244">
        <f t="shared" si="3"/>
        <v>0</v>
      </c>
      <c r="E32" s="243">
        <f t="shared" si="1"/>
        <v>0</v>
      </c>
      <c r="F32" s="245">
        <f t="shared" si="2"/>
        <v>292.5</v>
      </c>
      <c r="G32" s="208"/>
      <c r="H32" s="208"/>
      <c r="N32" s="223"/>
    </row>
    <row r="33" spans="2:14" ht="13" customHeight="1" x14ac:dyDescent="0.3">
      <c r="B33" s="246">
        <v>18</v>
      </c>
      <c r="C33" s="243">
        <f t="shared" si="0"/>
        <v>292.5</v>
      </c>
      <c r="D33" s="244">
        <f t="shared" si="3"/>
        <v>0</v>
      </c>
      <c r="E33" s="243">
        <f t="shared" si="1"/>
        <v>0</v>
      </c>
      <c r="F33" s="245">
        <f t="shared" si="2"/>
        <v>292.5</v>
      </c>
      <c r="G33" s="208"/>
      <c r="H33" s="208"/>
      <c r="N33" s="223"/>
    </row>
    <row r="34" spans="2:14" ht="13" customHeight="1" x14ac:dyDescent="0.3">
      <c r="B34" s="246">
        <v>19</v>
      </c>
      <c r="C34" s="243">
        <f t="shared" si="0"/>
        <v>292.5</v>
      </c>
      <c r="D34" s="244">
        <f t="shared" si="3"/>
        <v>0</v>
      </c>
      <c r="E34" s="243">
        <f t="shared" si="1"/>
        <v>0</v>
      </c>
      <c r="F34" s="245">
        <f t="shared" si="2"/>
        <v>292.5</v>
      </c>
      <c r="G34" s="208"/>
      <c r="H34" s="208"/>
      <c r="N34" s="223"/>
    </row>
    <row r="35" spans="2:14" ht="13" customHeight="1" x14ac:dyDescent="0.3">
      <c r="B35" s="247">
        <v>20</v>
      </c>
      <c r="C35" s="248">
        <f t="shared" si="0"/>
        <v>292.5</v>
      </c>
      <c r="D35" s="249">
        <f t="shared" si="3"/>
        <v>0</v>
      </c>
      <c r="E35" s="248">
        <f t="shared" si="1"/>
        <v>0</v>
      </c>
      <c r="F35" s="250">
        <f t="shared" si="2"/>
        <v>292.5</v>
      </c>
      <c r="N35" s="223"/>
    </row>
    <row r="36" spans="2:14" ht="15" customHeight="1" thickBot="1" x14ac:dyDescent="0.35">
      <c r="B36" s="251"/>
      <c r="C36" s="252"/>
      <c r="D36" s="252"/>
      <c r="E36" s="252"/>
      <c r="F36" s="252"/>
      <c r="G36" s="252"/>
      <c r="H36" s="252"/>
      <c r="I36" s="252"/>
      <c r="J36" s="252"/>
      <c r="K36" s="252"/>
      <c r="L36" s="252"/>
      <c r="M36" s="252"/>
      <c r="N36" s="253"/>
    </row>
    <row r="37" spans="2:14" ht="15" customHeight="1" x14ac:dyDescent="0.3">
      <c r="B37" s="254"/>
      <c r="C37" s="254"/>
      <c r="D37" s="254"/>
      <c r="E37" s="254"/>
      <c r="F37" s="254"/>
      <c r="G37" s="254"/>
      <c r="H37" s="254"/>
      <c r="I37" s="254"/>
      <c r="J37" s="254"/>
      <c r="K37" s="254"/>
      <c r="L37" s="254"/>
      <c r="M37" s="254"/>
      <c r="N37" s="254"/>
    </row>
    <row r="38" spans="2:14" ht="23" customHeight="1" x14ac:dyDescent="0.3">
      <c r="B38" s="376" t="s">
        <v>276</v>
      </c>
      <c r="C38" s="377"/>
      <c r="D38" s="377"/>
      <c r="E38" s="377"/>
      <c r="F38" s="378"/>
      <c r="G38" s="255"/>
      <c r="H38" s="255"/>
      <c r="I38" s="255"/>
      <c r="J38" s="255"/>
      <c r="K38" s="255"/>
      <c r="L38" s="255"/>
      <c r="M38" s="255"/>
      <c r="N38" s="255"/>
    </row>
    <row r="39" spans="2:14" s="259" customFormat="1" ht="44" customHeight="1" x14ac:dyDescent="0.35">
      <c r="B39" s="256" t="s">
        <v>5</v>
      </c>
      <c r="C39" s="257" t="s">
        <v>274</v>
      </c>
      <c r="D39" s="257" t="s">
        <v>275</v>
      </c>
      <c r="E39" s="257" t="s">
        <v>277</v>
      </c>
      <c r="F39" s="258" t="s">
        <v>278</v>
      </c>
    </row>
    <row r="40" spans="2:14" ht="15" customHeight="1" x14ac:dyDescent="0.3">
      <c r="B40" s="260">
        <v>1</v>
      </c>
      <c r="C40" s="261">
        <f t="shared" ref="C40:C51" si="4">$E$6*$E$11</f>
        <v>390</v>
      </c>
      <c r="D40" s="262">
        <f>C40</f>
        <v>390</v>
      </c>
      <c r="E40" s="261"/>
      <c r="F40" s="263">
        <f>+C40</f>
        <v>390</v>
      </c>
    </row>
    <row r="41" spans="2:14" ht="15" customHeight="1" x14ac:dyDescent="0.3">
      <c r="B41" s="260">
        <v>2</v>
      </c>
      <c r="C41" s="261">
        <f t="shared" si="4"/>
        <v>390</v>
      </c>
      <c r="D41" s="262">
        <f>D40+C41</f>
        <v>780</v>
      </c>
      <c r="E41" s="261">
        <f t="shared" ref="E41:E59" si="5">+MAX(0,$E$6*$E$12-D40)</f>
        <v>5460</v>
      </c>
      <c r="F41" s="263">
        <f t="shared" ref="F41:F59" si="6">+IF(E41&gt;C40,C40,E41)</f>
        <v>390</v>
      </c>
    </row>
    <row r="42" spans="2:14" ht="15" customHeight="1" x14ac:dyDescent="0.3">
      <c r="B42" s="260">
        <v>3</v>
      </c>
      <c r="C42" s="261">
        <f t="shared" si="4"/>
        <v>390</v>
      </c>
      <c r="D42" s="262">
        <f t="shared" ref="D42:D59" si="7">D41+C42</f>
        <v>1170</v>
      </c>
      <c r="E42" s="261">
        <f t="shared" si="5"/>
        <v>5070</v>
      </c>
      <c r="F42" s="263">
        <f t="shared" si="6"/>
        <v>390</v>
      </c>
    </row>
    <row r="43" spans="2:14" ht="15" customHeight="1" x14ac:dyDescent="0.3">
      <c r="B43" s="260">
        <v>4</v>
      </c>
      <c r="C43" s="261">
        <f t="shared" si="4"/>
        <v>390</v>
      </c>
      <c r="D43" s="262">
        <f t="shared" si="7"/>
        <v>1560</v>
      </c>
      <c r="E43" s="261">
        <f t="shared" si="5"/>
        <v>4680</v>
      </c>
      <c r="F43" s="263">
        <f t="shared" si="6"/>
        <v>390</v>
      </c>
    </row>
    <row r="44" spans="2:14" ht="15" customHeight="1" x14ac:dyDescent="0.3">
      <c r="B44" s="260">
        <v>5</v>
      </c>
      <c r="C44" s="261">
        <f t="shared" si="4"/>
        <v>390</v>
      </c>
      <c r="D44" s="262">
        <f t="shared" si="7"/>
        <v>1950</v>
      </c>
      <c r="E44" s="261">
        <f t="shared" si="5"/>
        <v>4290</v>
      </c>
      <c r="F44" s="263">
        <f t="shared" si="6"/>
        <v>390</v>
      </c>
    </row>
    <row r="45" spans="2:14" ht="15" customHeight="1" x14ac:dyDescent="0.3">
      <c r="B45" s="260">
        <v>6</v>
      </c>
      <c r="C45" s="261">
        <f t="shared" si="4"/>
        <v>390</v>
      </c>
      <c r="D45" s="262">
        <f t="shared" si="7"/>
        <v>2340</v>
      </c>
      <c r="E45" s="261">
        <f t="shared" si="5"/>
        <v>3900</v>
      </c>
      <c r="F45" s="263">
        <f t="shared" si="6"/>
        <v>390</v>
      </c>
    </row>
    <row r="46" spans="2:14" ht="15" customHeight="1" x14ac:dyDescent="0.3">
      <c r="B46" s="260">
        <v>7</v>
      </c>
      <c r="C46" s="261">
        <f t="shared" si="4"/>
        <v>390</v>
      </c>
      <c r="D46" s="262">
        <f t="shared" si="7"/>
        <v>2730</v>
      </c>
      <c r="E46" s="261">
        <f t="shared" si="5"/>
        <v>3510</v>
      </c>
      <c r="F46" s="263">
        <f t="shared" si="6"/>
        <v>390</v>
      </c>
    </row>
    <row r="47" spans="2:14" ht="15" customHeight="1" x14ac:dyDescent="0.3">
      <c r="B47" s="260">
        <v>8</v>
      </c>
      <c r="C47" s="261">
        <f t="shared" si="4"/>
        <v>390</v>
      </c>
      <c r="D47" s="262">
        <f t="shared" si="7"/>
        <v>3120</v>
      </c>
      <c r="E47" s="261">
        <f t="shared" si="5"/>
        <v>3120</v>
      </c>
      <c r="F47" s="263">
        <f t="shared" si="6"/>
        <v>390</v>
      </c>
    </row>
    <row r="48" spans="2:14" ht="15" customHeight="1" x14ac:dyDescent="0.3">
      <c r="B48" s="260">
        <v>9</v>
      </c>
      <c r="C48" s="261">
        <f t="shared" si="4"/>
        <v>390</v>
      </c>
      <c r="D48" s="262">
        <f t="shared" si="7"/>
        <v>3510</v>
      </c>
      <c r="E48" s="261">
        <f t="shared" si="5"/>
        <v>2730</v>
      </c>
      <c r="F48" s="263">
        <f t="shared" si="6"/>
        <v>390</v>
      </c>
    </row>
    <row r="49" spans="2:6" ht="15" customHeight="1" x14ac:dyDescent="0.3">
      <c r="B49" s="260">
        <v>10</v>
      </c>
      <c r="C49" s="261">
        <f t="shared" si="4"/>
        <v>390</v>
      </c>
      <c r="D49" s="262">
        <f t="shared" si="7"/>
        <v>3900</v>
      </c>
      <c r="E49" s="261">
        <f t="shared" si="5"/>
        <v>2340</v>
      </c>
      <c r="F49" s="263">
        <f t="shared" si="6"/>
        <v>390</v>
      </c>
    </row>
    <row r="50" spans="2:6" ht="15" customHeight="1" x14ac:dyDescent="0.3">
      <c r="B50" s="260">
        <v>11</v>
      </c>
      <c r="C50" s="261">
        <f t="shared" si="4"/>
        <v>390</v>
      </c>
      <c r="D50" s="262">
        <f t="shared" si="7"/>
        <v>4290</v>
      </c>
      <c r="E50" s="261">
        <f t="shared" si="5"/>
        <v>1950</v>
      </c>
      <c r="F50" s="263">
        <f t="shared" si="6"/>
        <v>390</v>
      </c>
    </row>
    <row r="51" spans="2:6" ht="15" customHeight="1" x14ac:dyDescent="0.3">
      <c r="B51" s="260">
        <v>12</v>
      </c>
      <c r="C51" s="261">
        <f t="shared" si="4"/>
        <v>390</v>
      </c>
      <c r="D51" s="262">
        <f t="shared" si="7"/>
        <v>4680</v>
      </c>
      <c r="E51" s="261">
        <f t="shared" si="5"/>
        <v>1560</v>
      </c>
      <c r="F51" s="263">
        <f t="shared" si="6"/>
        <v>390</v>
      </c>
    </row>
    <row r="52" spans="2:6" ht="15" customHeight="1" x14ac:dyDescent="0.3">
      <c r="B52" s="260">
        <v>13</v>
      </c>
      <c r="C52" s="261">
        <f t="shared" ref="C52:C59" si="8">$E$6*$E$11</f>
        <v>390</v>
      </c>
      <c r="D52" s="262">
        <f t="shared" si="7"/>
        <v>5070</v>
      </c>
      <c r="E52" s="261">
        <f t="shared" si="5"/>
        <v>1170</v>
      </c>
      <c r="F52" s="263">
        <f t="shared" si="6"/>
        <v>390</v>
      </c>
    </row>
    <row r="53" spans="2:6" ht="15" customHeight="1" x14ac:dyDescent="0.3">
      <c r="B53" s="260">
        <v>14</v>
      </c>
      <c r="C53" s="261">
        <f t="shared" si="8"/>
        <v>390</v>
      </c>
      <c r="D53" s="262">
        <f t="shared" si="7"/>
        <v>5460</v>
      </c>
      <c r="E53" s="261">
        <f t="shared" si="5"/>
        <v>780</v>
      </c>
      <c r="F53" s="263">
        <f t="shared" si="6"/>
        <v>390</v>
      </c>
    </row>
    <row r="54" spans="2:6" ht="15" customHeight="1" x14ac:dyDescent="0.3">
      <c r="B54" s="260">
        <v>15</v>
      </c>
      <c r="C54" s="261">
        <f t="shared" si="8"/>
        <v>390</v>
      </c>
      <c r="D54" s="262">
        <f t="shared" si="7"/>
        <v>5850</v>
      </c>
      <c r="E54" s="261">
        <f t="shared" si="5"/>
        <v>390</v>
      </c>
      <c r="F54" s="263">
        <f t="shared" si="6"/>
        <v>390</v>
      </c>
    </row>
    <row r="55" spans="2:6" ht="15" customHeight="1" x14ac:dyDescent="0.3">
      <c r="B55" s="260">
        <v>16</v>
      </c>
      <c r="C55" s="261">
        <f t="shared" si="8"/>
        <v>390</v>
      </c>
      <c r="D55" s="262">
        <f t="shared" si="7"/>
        <v>6240</v>
      </c>
      <c r="E55" s="261">
        <f t="shared" si="5"/>
        <v>0</v>
      </c>
      <c r="F55" s="263">
        <f t="shared" si="6"/>
        <v>0</v>
      </c>
    </row>
    <row r="56" spans="2:6" ht="15" customHeight="1" x14ac:dyDescent="0.3">
      <c r="B56" s="260">
        <v>17</v>
      </c>
      <c r="C56" s="261">
        <f t="shared" si="8"/>
        <v>390</v>
      </c>
      <c r="D56" s="262">
        <f t="shared" si="7"/>
        <v>6630</v>
      </c>
      <c r="E56" s="261">
        <f t="shared" si="5"/>
        <v>0</v>
      </c>
      <c r="F56" s="263">
        <f t="shared" si="6"/>
        <v>0</v>
      </c>
    </row>
    <row r="57" spans="2:6" ht="15" customHeight="1" x14ac:dyDescent="0.3">
      <c r="B57" s="260">
        <v>18</v>
      </c>
      <c r="C57" s="261">
        <f t="shared" si="8"/>
        <v>390</v>
      </c>
      <c r="D57" s="262">
        <f t="shared" si="7"/>
        <v>7020</v>
      </c>
      <c r="E57" s="261">
        <f t="shared" si="5"/>
        <v>0</v>
      </c>
      <c r="F57" s="263">
        <f t="shared" si="6"/>
        <v>0</v>
      </c>
    </row>
    <row r="58" spans="2:6" ht="15" customHeight="1" x14ac:dyDescent="0.3">
      <c r="B58" s="260">
        <v>19</v>
      </c>
      <c r="C58" s="261">
        <f t="shared" si="8"/>
        <v>390</v>
      </c>
      <c r="D58" s="262">
        <f t="shared" si="7"/>
        <v>7410</v>
      </c>
      <c r="E58" s="261">
        <f t="shared" si="5"/>
        <v>0</v>
      </c>
      <c r="F58" s="263">
        <f t="shared" si="6"/>
        <v>0</v>
      </c>
    </row>
    <row r="59" spans="2:6" ht="15" customHeight="1" x14ac:dyDescent="0.3">
      <c r="B59" s="260">
        <v>20</v>
      </c>
      <c r="C59" s="261">
        <f t="shared" si="8"/>
        <v>390</v>
      </c>
      <c r="D59" s="262">
        <f t="shared" si="7"/>
        <v>7800</v>
      </c>
      <c r="E59" s="261">
        <f t="shared" si="5"/>
        <v>0</v>
      </c>
      <c r="F59" s="263">
        <f t="shared" si="6"/>
        <v>0</v>
      </c>
    </row>
    <row r="60" spans="2:6" ht="15" customHeight="1" x14ac:dyDescent="0.3">
      <c r="B60" s="264"/>
      <c r="C60" s="265"/>
      <c r="D60" s="266"/>
      <c r="E60" s="265"/>
      <c r="F60" s="267"/>
    </row>
  </sheetData>
  <sheetProtection sheet="1" objects="1" scenarios="1" formatColumns="0" formatRows="0"/>
  <mergeCells count="10">
    <mergeCell ref="B2:N2"/>
    <mergeCell ref="B4:N4"/>
    <mergeCell ref="B38:F38"/>
    <mergeCell ref="F6:N6"/>
    <mergeCell ref="F7:N7"/>
    <mergeCell ref="F8:N8"/>
    <mergeCell ref="F9:N9"/>
    <mergeCell ref="F10:N10"/>
    <mergeCell ref="F11:N11"/>
    <mergeCell ref="F12:N12"/>
  </mergeCells>
  <dataValidations disablePrompts="1" count="2">
    <dataValidation type="decimal" allowBlank="1" showInputMessage="1" showErrorMessage="1" sqref="E7:E8 E10:E11" xr:uid="{00000000-0002-0000-0900-000000000000}">
      <formula1>0</formula1>
      <formula2>1</formula2>
    </dataValidation>
    <dataValidation type="whole" allowBlank="1" showInputMessage="1" showErrorMessage="1" sqref="E9" xr:uid="{00000000-0002-0000-0900-000001000000}">
      <formula1>1</formula1>
      <formula2>15</formula2>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BEEF4"/>
  </sheetPr>
  <dimension ref="B1:F11"/>
  <sheetViews>
    <sheetView showGridLines="0" zoomScaleNormal="100" workbookViewId="0">
      <selection activeCell="B35" sqref="B35"/>
    </sheetView>
  </sheetViews>
  <sheetFormatPr defaultColWidth="8.81640625" defaultRowHeight="16.399999999999999" customHeight="1" x14ac:dyDescent="0.35"/>
  <cols>
    <col min="1" max="1" width="3.1796875" style="268" customWidth="1"/>
    <col min="2" max="2" width="58.26953125" style="268" customWidth="1"/>
    <col min="3" max="3" width="12.453125" style="268" customWidth="1"/>
    <col min="4" max="4" width="57.1796875" style="268" customWidth="1"/>
    <col min="5" max="16384" width="8.81640625" style="268"/>
  </cols>
  <sheetData>
    <row r="1" spans="2:6" ht="16.399999999999999" customHeight="1" thickBot="1" x14ac:dyDescent="0.4"/>
    <row r="2" spans="2:6" ht="34.5" customHeight="1" thickBot="1" x14ac:dyDescent="0.4">
      <c r="B2" s="347" t="s">
        <v>3</v>
      </c>
      <c r="C2" s="348"/>
      <c r="D2" s="349"/>
    </row>
    <row r="3" spans="2:6" s="272" customFormat="1" ht="20.5" customHeight="1" thickBot="1" x14ac:dyDescent="0.4">
      <c r="B3" s="73" t="s">
        <v>12</v>
      </c>
      <c r="C3" s="269"/>
      <c r="D3" s="270"/>
      <c r="E3" s="271"/>
    </row>
    <row r="4" spans="2:6" ht="64" customHeight="1" x14ac:dyDescent="0.35">
      <c r="B4" s="344" t="s">
        <v>308</v>
      </c>
      <c r="C4" s="345"/>
      <c r="D4" s="346"/>
    </row>
    <row r="5" spans="2:6" ht="16.5" customHeight="1" x14ac:dyDescent="0.35">
      <c r="B5" s="273" t="s">
        <v>13</v>
      </c>
      <c r="C5" s="77" t="s">
        <v>14</v>
      </c>
      <c r="D5" s="78" t="s">
        <v>15</v>
      </c>
    </row>
    <row r="6" spans="2:6" ht="17.5" customHeight="1" x14ac:dyDescent="0.35">
      <c r="B6" s="274" t="s">
        <v>234</v>
      </c>
      <c r="C6" s="26">
        <v>6500</v>
      </c>
      <c r="D6" s="270" t="s">
        <v>307</v>
      </c>
      <c r="F6" s="275"/>
    </row>
    <row r="7" spans="2:6" s="259" customFormat="1" ht="26.5" customHeight="1" x14ac:dyDescent="0.35">
      <c r="B7" s="274" t="s">
        <v>218</v>
      </c>
      <c r="C7" s="26">
        <v>4</v>
      </c>
      <c r="D7" s="276" t="s">
        <v>309</v>
      </c>
    </row>
    <row r="8" spans="2:6" ht="17.5" customHeight="1" x14ac:dyDescent="0.35">
      <c r="B8" s="274" t="s">
        <v>8</v>
      </c>
      <c r="C8" s="28">
        <v>0.1</v>
      </c>
      <c r="D8" s="270" t="s">
        <v>9</v>
      </c>
    </row>
    <row r="9" spans="2:6" ht="22.5" customHeight="1" x14ac:dyDescent="0.35">
      <c r="B9" s="277" t="s">
        <v>310</v>
      </c>
      <c r="C9" s="269">
        <f>-PMT(C8,C7,C6)</f>
        <v>2050.560224089636</v>
      </c>
      <c r="D9" s="278"/>
    </row>
    <row r="10" spans="2:6" ht="22.5" customHeight="1" x14ac:dyDescent="0.35">
      <c r="B10" s="277" t="s">
        <v>311</v>
      </c>
      <c r="C10" s="269">
        <f>C9*C7</f>
        <v>8202.240896358544</v>
      </c>
      <c r="D10" s="270"/>
    </row>
    <row r="11" spans="2:6" ht="27.65" customHeight="1" thickBot="1" x14ac:dyDescent="0.4">
      <c r="B11" s="279" t="s">
        <v>312</v>
      </c>
      <c r="C11" s="280">
        <f>C10-C6</f>
        <v>1702.240896358544</v>
      </c>
      <c r="D11" s="281"/>
    </row>
  </sheetData>
  <sheetProtection sheet="1" formatColumns="0" formatRows="0"/>
  <mergeCells count="2">
    <mergeCell ref="B2:D2"/>
    <mergeCell ref="B4:D4"/>
  </mergeCells>
  <dataValidations count="1">
    <dataValidation type="whole" allowBlank="1" showInputMessage="1" showErrorMessage="1" sqref="C7" xr:uid="{00000000-0002-0000-0A00-000000000000}">
      <formula1>1</formula1>
      <formula2>50</formula2>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DBEEF4"/>
  </sheetPr>
  <dimension ref="B1:M30"/>
  <sheetViews>
    <sheetView showGridLines="0" zoomScaleNormal="100" workbookViewId="0">
      <selection activeCell="D56" sqref="D56"/>
    </sheetView>
  </sheetViews>
  <sheetFormatPr defaultColWidth="8.7265625" defaultRowHeight="14.5" x14ac:dyDescent="0.35"/>
  <cols>
    <col min="1" max="1" width="2.1796875" style="36" customWidth="1"/>
    <col min="2" max="2" width="33.26953125" style="36" customWidth="1"/>
    <col min="3" max="4" width="27.54296875" style="36" customWidth="1"/>
    <col min="5" max="5" width="21" style="36" customWidth="1"/>
    <col min="6" max="6" width="23.81640625" style="36" customWidth="1"/>
    <col min="7" max="16384" width="8.7265625" style="36"/>
  </cols>
  <sheetData>
    <row r="1" spans="2:13" ht="12.75" customHeight="1" thickBot="1" x14ac:dyDescent="0.4"/>
    <row r="2" spans="2:13" ht="33" customHeight="1" thickBot="1" x14ac:dyDescent="0.4">
      <c r="B2" s="365" t="s">
        <v>202</v>
      </c>
      <c r="C2" s="366"/>
      <c r="D2" s="366"/>
      <c r="E2" s="366"/>
      <c r="F2" s="367"/>
      <c r="G2" s="282"/>
      <c r="H2" s="282"/>
      <c r="I2" s="282"/>
      <c r="J2" s="282"/>
      <c r="K2" s="282"/>
      <c r="L2" s="282"/>
    </row>
    <row r="3" spans="2:13" ht="18" customHeight="1" thickBot="1" x14ac:dyDescent="0.4">
      <c r="B3" s="186" t="s">
        <v>12</v>
      </c>
      <c r="C3" s="283"/>
      <c r="D3" s="192"/>
      <c r="E3" s="192"/>
      <c r="F3" s="284"/>
      <c r="G3" s="282"/>
      <c r="H3" s="282"/>
      <c r="I3" s="282"/>
      <c r="J3" s="282"/>
      <c r="K3" s="282"/>
      <c r="L3" s="282"/>
    </row>
    <row r="4" spans="2:13" s="285" customFormat="1" ht="61.5" customHeight="1" x14ac:dyDescent="0.35">
      <c r="B4" s="385" t="s">
        <v>313</v>
      </c>
      <c r="C4" s="363"/>
      <c r="D4" s="363"/>
      <c r="E4" s="363"/>
      <c r="F4" s="386"/>
    </row>
    <row r="5" spans="2:13" s="207" customFormat="1" ht="32" customHeight="1" x14ac:dyDescent="0.35">
      <c r="B5" s="286" t="s">
        <v>105</v>
      </c>
      <c r="C5" s="287" t="s">
        <v>77</v>
      </c>
      <c r="D5" s="287" t="s">
        <v>219</v>
      </c>
      <c r="E5" s="287" t="s">
        <v>106</v>
      </c>
      <c r="F5" s="288" t="s">
        <v>235</v>
      </c>
      <c r="G5" s="289" t="s">
        <v>233</v>
      </c>
      <c r="H5" s="290" t="s">
        <v>112</v>
      </c>
      <c r="I5" s="291"/>
      <c r="J5" s="291"/>
      <c r="K5" s="291"/>
      <c r="L5" s="291"/>
      <c r="M5" s="291"/>
    </row>
    <row r="6" spans="2:13" s="218" customFormat="1" ht="12" customHeight="1" x14ac:dyDescent="0.3">
      <c r="B6" s="292" t="s">
        <v>104</v>
      </c>
      <c r="C6" s="293" t="s">
        <v>102</v>
      </c>
      <c r="D6" s="293" t="s">
        <v>24</v>
      </c>
      <c r="E6" s="293" t="s">
        <v>101</v>
      </c>
      <c r="F6" s="294" t="s">
        <v>103</v>
      </c>
      <c r="G6" s="295"/>
      <c r="H6" s="296">
        <f t="shared" ref="H6:H7" si="0">$C$20</f>
        <v>3.1746031746031744</v>
      </c>
      <c r="I6" s="255"/>
      <c r="J6" s="255"/>
      <c r="K6" s="255"/>
      <c r="L6" s="255"/>
      <c r="M6" s="255"/>
    </row>
    <row r="7" spans="2:13" x14ac:dyDescent="0.35">
      <c r="B7" s="297" t="s">
        <v>100</v>
      </c>
      <c r="C7" s="298">
        <f>SUM(C8:C12)</f>
        <v>5000</v>
      </c>
      <c r="D7" s="299"/>
      <c r="E7" s="300"/>
      <c r="F7" s="301">
        <f>SUM(F8:F12)</f>
        <v>1277.7777777777776</v>
      </c>
      <c r="H7" s="296">
        <f t="shared" si="0"/>
        <v>3.1746031746031744</v>
      </c>
      <c r="I7" s="282"/>
      <c r="J7" s="282"/>
      <c r="K7" s="282"/>
      <c r="L7" s="282"/>
      <c r="M7" s="282"/>
    </row>
    <row r="8" spans="2:13" x14ac:dyDescent="0.35">
      <c r="B8" s="302" t="s">
        <v>99</v>
      </c>
      <c r="C8" s="33">
        <v>1000</v>
      </c>
      <c r="D8" s="34">
        <v>0.9</v>
      </c>
      <c r="E8" s="300">
        <f>$C$20*D8</f>
        <v>2.8571428571428572</v>
      </c>
      <c r="F8" s="301">
        <f>(E8*C8)/10</f>
        <v>285.71428571428572</v>
      </c>
      <c r="G8" s="303">
        <f>IF(E8&lt;$C$20,($C$20-E8),0)</f>
        <v>0.31746031746031722</v>
      </c>
      <c r="H8" s="296">
        <f>$C$20</f>
        <v>3.1746031746031744</v>
      </c>
      <c r="I8" s="282"/>
      <c r="J8" s="282"/>
      <c r="K8" s="282"/>
      <c r="L8" s="282"/>
      <c r="M8" s="282"/>
    </row>
    <row r="9" spans="2:13" x14ac:dyDescent="0.35">
      <c r="B9" s="302" t="s">
        <v>98</v>
      </c>
      <c r="C9" s="33">
        <v>700</v>
      </c>
      <c r="D9" s="34">
        <v>0.95</v>
      </c>
      <c r="E9" s="300">
        <f>$C$20*D9</f>
        <v>3.0158730158730154</v>
      </c>
      <c r="F9" s="301">
        <f>(E9*C9)/10</f>
        <v>211.11111111111109</v>
      </c>
      <c r="G9" s="303">
        <f t="shared" ref="G9:G16" si="1">IF(E9&lt;$C$20,($C$20-E9),0)</f>
        <v>0.15873015873015905</v>
      </c>
      <c r="H9" s="296">
        <f t="shared" ref="H9:H16" si="2">$C$20</f>
        <v>3.1746031746031744</v>
      </c>
      <c r="I9" s="282"/>
      <c r="J9" s="282"/>
      <c r="K9" s="282"/>
      <c r="L9" s="282"/>
      <c r="M9" s="282"/>
    </row>
    <row r="10" spans="2:13" x14ac:dyDescent="0.35">
      <c r="B10" s="302" t="s">
        <v>97</v>
      </c>
      <c r="C10" s="33">
        <v>1200</v>
      </c>
      <c r="D10" s="34">
        <v>0.95</v>
      </c>
      <c r="E10" s="300">
        <f>$C$20*D10</f>
        <v>3.0158730158730154</v>
      </c>
      <c r="F10" s="301">
        <f>(E10*C10)/10</f>
        <v>361.90476190476181</v>
      </c>
      <c r="G10" s="303">
        <f t="shared" si="1"/>
        <v>0.15873015873015905</v>
      </c>
      <c r="H10" s="296">
        <f t="shared" si="2"/>
        <v>3.1746031746031744</v>
      </c>
      <c r="I10" s="282"/>
      <c r="J10" s="282"/>
      <c r="K10" s="282"/>
      <c r="L10" s="282"/>
      <c r="M10" s="282"/>
    </row>
    <row r="11" spans="2:13" x14ac:dyDescent="0.35">
      <c r="B11" s="302" t="s">
        <v>96</v>
      </c>
      <c r="C11" s="33">
        <v>1500</v>
      </c>
      <c r="D11" s="34">
        <v>0.5</v>
      </c>
      <c r="E11" s="300">
        <f>$C$20*D11</f>
        <v>1.5873015873015872</v>
      </c>
      <c r="F11" s="301">
        <f>(E11*C11)/10</f>
        <v>238.09523809523807</v>
      </c>
      <c r="G11" s="303">
        <f t="shared" si="1"/>
        <v>1.5873015873015872</v>
      </c>
      <c r="H11" s="296">
        <f t="shared" si="2"/>
        <v>3.1746031746031744</v>
      </c>
      <c r="I11" s="282"/>
      <c r="J11" s="282"/>
      <c r="K11" s="282"/>
      <c r="L11" s="282"/>
      <c r="M11" s="282"/>
    </row>
    <row r="12" spans="2:13" x14ac:dyDescent="0.35">
      <c r="B12" s="302" t="s">
        <v>95</v>
      </c>
      <c r="C12" s="33">
        <v>600</v>
      </c>
      <c r="D12" s="34">
        <v>0.95</v>
      </c>
      <c r="E12" s="300">
        <f>$C$20*D12</f>
        <v>3.0158730158730154</v>
      </c>
      <c r="F12" s="301">
        <f>(E12*C12)/10</f>
        <v>180.95238095238091</v>
      </c>
      <c r="G12" s="303">
        <f t="shared" si="1"/>
        <v>0.15873015873015905</v>
      </c>
      <c r="H12" s="296">
        <f t="shared" si="2"/>
        <v>3.1746031746031744</v>
      </c>
      <c r="I12" s="282"/>
      <c r="J12" s="282"/>
      <c r="K12" s="282"/>
      <c r="L12" s="282"/>
      <c r="M12" s="282"/>
    </row>
    <row r="13" spans="2:13" x14ac:dyDescent="0.35">
      <c r="B13" s="297" t="s">
        <v>94</v>
      </c>
      <c r="C13" s="121">
        <f>SUM(C14:C16)</f>
        <v>1300</v>
      </c>
      <c r="D13" s="304"/>
      <c r="E13" s="300"/>
      <c r="F13" s="301">
        <f>SUM(F14:F16)</f>
        <v>577.77777777777771</v>
      </c>
      <c r="G13" s="303"/>
      <c r="H13" s="296">
        <f t="shared" si="2"/>
        <v>3.1746031746031744</v>
      </c>
      <c r="I13" s="282"/>
      <c r="J13" s="282"/>
      <c r="K13" s="282"/>
      <c r="L13" s="282"/>
      <c r="M13" s="282"/>
    </row>
    <row r="14" spans="2:13" x14ac:dyDescent="0.35">
      <c r="B14" s="302" t="s">
        <v>93</v>
      </c>
      <c r="C14" s="33">
        <v>800</v>
      </c>
      <c r="D14" s="34">
        <v>1.35</v>
      </c>
      <c r="E14" s="300">
        <f>$C$20*D14</f>
        <v>4.2857142857142856</v>
      </c>
      <c r="F14" s="301">
        <f>(E14*C14)/10</f>
        <v>342.85714285714283</v>
      </c>
      <c r="G14" s="303">
        <f t="shared" si="1"/>
        <v>0</v>
      </c>
      <c r="H14" s="296">
        <f t="shared" si="2"/>
        <v>3.1746031746031744</v>
      </c>
      <c r="I14" s="282"/>
      <c r="J14" s="282"/>
      <c r="K14" s="282"/>
      <c r="L14" s="282"/>
      <c r="M14" s="282"/>
    </row>
    <row r="15" spans="2:13" x14ac:dyDescent="0.35">
      <c r="B15" s="302" t="s">
        <v>92</v>
      </c>
      <c r="C15" s="33">
        <v>300</v>
      </c>
      <c r="D15" s="34">
        <v>1.6</v>
      </c>
      <c r="E15" s="300">
        <f>$C$20*D15</f>
        <v>5.0793650793650791</v>
      </c>
      <c r="F15" s="301">
        <f>(E15*C15)/10</f>
        <v>152.38095238095235</v>
      </c>
      <c r="G15" s="303">
        <f t="shared" si="1"/>
        <v>0</v>
      </c>
      <c r="H15" s="296">
        <f t="shared" si="2"/>
        <v>3.1746031746031744</v>
      </c>
      <c r="I15" s="282"/>
      <c r="J15" s="282"/>
      <c r="K15" s="282"/>
      <c r="L15" s="282"/>
      <c r="M15" s="282"/>
    </row>
    <row r="16" spans="2:13" x14ac:dyDescent="0.35">
      <c r="B16" s="302" t="s">
        <v>91</v>
      </c>
      <c r="C16" s="33">
        <v>200</v>
      </c>
      <c r="D16" s="34">
        <v>1.3</v>
      </c>
      <c r="E16" s="300">
        <f>$C$20*D16</f>
        <v>4.1269841269841265</v>
      </c>
      <c r="F16" s="301">
        <f>(E16*C16)/10</f>
        <v>82.539682539682531</v>
      </c>
      <c r="G16" s="303">
        <f t="shared" si="1"/>
        <v>0</v>
      </c>
      <c r="H16" s="296">
        <f t="shared" si="2"/>
        <v>3.1746031746031744</v>
      </c>
      <c r="I16" s="282"/>
      <c r="J16" s="282"/>
      <c r="K16" s="282"/>
      <c r="L16" s="282"/>
      <c r="M16" s="282"/>
    </row>
    <row r="17" spans="2:13" ht="20.5" customHeight="1" x14ac:dyDescent="0.35">
      <c r="B17" s="305" t="s">
        <v>90</v>
      </c>
      <c r="C17" s="306">
        <f>SUM(C7,C13)</f>
        <v>6300</v>
      </c>
      <c r="D17" s="307"/>
      <c r="E17" s="308"/>
      <c r="F17" s="309">
        <f>SUM(F7,F13)</f>
        <v>1855.5555555555552</v>
      </c>
      <c r="G17" s="310"/>
      <c r="H17" s="311"/>
      <c r="I17" s="282"/>
      <c r="J17" s="282"/>
      <c r="K17" s="282"/>
      <c r="L17" s="282"/>
      <c r="M17" s="282"/>
    </row>
    <row r="18" spans="2:13" ht="12" customHeight="1" x14ac:dyDescent="0.35">
      <c r="B18" s="312"/>
      <c r="C18" s="313"/>
      <c r="D18" s="314"/>
      <c r="E18" s="313"/>
      <c r="F18" s="315"/>
      <c r="G18" s="282"/>
      <c r="H18" s="311"/>
      <c r="I18" s="282"/>
      <c r="J18" s="282"/>
      <c r="K18" s="282"/>
      <c r="L18" s="282"/>
    </row>
    <row r="19" spans="2:13" ht="28" customHeight="1" x14ac:dyDescent="0.35">
      <c r="B19" s="316" t="s">
        <v>264</v>
      </c>
      <c r="C19" s="22">
        <v>2000</v>
      </c>
      <c r="D19" s="313"/>
      <c r="E19" s="313"/>
      <c r="F19" s="315"/>
      <c r="G19" s="282"/>
      <c r="H19" s="311"/>
      <c r="I19" s="282"/>
      <c r="J19" s="282"/>
      <c r="K19" s="282"/>
      <c r="L19" s="282"/>
    </row>
    <row r="20" spans="2:13" ht="44.5" customHeight="1" x14ac:dyDescent="0.35">
      <c r="B20" s="317" t="s">
        <v>314</v>
      </c>
      <c r="C20" s="318">
        <f>(C19*10)/C17</f>
        <v>3.1746031746031744</v>
      </c>
      <c r="D20" s="313"/>
      <c r="E20" s="313"/>
      <c r="F20" s="315"/>
      <c r="G20" s="282"/>
      <c r="H20" s="282"/>
      <c r="I20" s="282"/>
      <c r="J20" s="282"/>
      <c r="K20" s="282"/>
      <c r="L20" s="282"/>
    </row>
    <row r="21" spans="2:13" ht="30" customHeight="1" x14ac:dyDescent="0.35">
      <c r="B21" s="319" t="s">
        <v>331</v>
      </c>
      <c r="C21" s="167">
        <f>C19-F17</f>
        <v>144.4444444444448</v>
      </c>
      <c r="D21" s="313"/>
      <c r="E21" s="313"/>
      <c r="F21" s="315"/>
      <c r="G21" s="282"/>
      <c r="H21" s="282"/>
      <c r="I21" s="282"/>
      <c r="J21" s="282"/>
      <c r="K21" s="282"/>
      <c r="L21" s="282"/>
    </row>
    <row r="22" spans="2:13" ht="52" customHeight="1" thickBot="1" x14ac:dyDescent="0.4">
      <c r="B22" s="320" t="s">
        <v>165</v>
      </c>
      <c r="C22" s="321">
        <f>C21/C19</f>
        <v>7.2222222222222396E-2</v>
      </c>
      <c r="D22" s="322"/>
      <c r="E22" s="322"/>
      <c r="F22" s="323"/>
      <c r="G22" s="282"/>
      <c r="H22" s="282"/>
      <c r="I22" s="282"/>
      <c r="J22" s="282"/>
      <c r="K22" s="282"/>
      <c r="L22" s="282"/>
    </row>
    <row r="23" spans="2:13" x14ac:dyDescent="0.35">
      <c r="B23" s="282"/>
      <c r="C23" s="282"/>
      <c r="D23" s="282"/>
      <c r="E23" s="282"/>
      <c r="F23" s="282"/>
      <c r="G23" s="282"/>
      <c r="H23" s="282"/>
      <c r="I23" s="282"/>
      <c r="J23" s="282"/>
      <c r="K23" s="282"/>
      <c r="L23" s="282"/>
    </row>
    <row r="24" spans="2:13" x14ac:dyDescent="0.35">
      <c r="B24" s="324"/>
      <c r="C24" s="324"/>
      <c r="D24" s="324"/>
      <c r="E24" s="324"/>
      <c r="F24" s="324"/>
      <c r="G24" s="324"/>
    </row>
    <row r="25" spans="2:13" ht="24" customHeight="1" x14ac:dyDescent="0.35">
      <c r="B25" s="324"/>
      <c r="C25" s="324"/>
      <c r="D25" s="324"/>
      <c r="E25" s="324"/>
      <c r="F25" s="324"/>
      <c r="G25" s="324"/>
    </row>
    <row r="26" spans="2:13" x14ac:dyDescent="0.35">
      <c r="B26" s="324"/>
      <c r="C26" s="325"/>
      <c r="D26" s="324"/>
      <c r="E26" s="324"/>
      <c r="F26" s="324"/>
      <c r="G26" s="324"/>
    </row>
    <row r="27" spans="2:13" x14ac:dyDescent="0.35">
      <c r="B27" s="324"/>
      <c r="C27" s="324"/>
      <c r="D27" s="324"/>
      <c r="E27" s="324"/>
      <c r="F27" s="324"/>
      <c r="G27" s="324"/>
    </row>
    <row r="28" spans="2:13" x14ac:dyDescent="0.35">
      <c r="B28" s="324"/>
      <c r="C28" s="324"/>
      <c r="D28" s="324"/>
      <c r="E28" s="324"/>
      <c r="F28" s="324"/>
      <c r="G28" s="324"/>
    </row>
    <row r="29" spans="2:13" x14ac:dyDescent="0.35">
      <c r="B29" s="324"/>
      <c r="C29" s="324"/>
      <c r="D29" s="324"/>
      <c r="E29" s="324"/>
      <c r="F29" s="324"/>
      <c r="G29" s="324"/>
    </row>
    <row r="30" spans="2:13" x14ac:dyDescent="0.35">
      <c r="B30" s="324"/>
      <c r="C30" s="324"/>
      <c r="D30" s="324"/>
      <c r="E30" s="324"/>
      <c r="F30" s="324"/>
      <c r="G30" s="324"/>
    </row>
  </sheetData>
  <sheetProtection sheet="1" objects="1" scenarios="1" formatColumns="0" formatRows="0"/>
  <mergeCells count="2">
    <mergeCell ref="B2:F2"/>
    <mergeCell ref="B4:F4"/>
  </mergeCells>
  <conditionalFormatting sqref="C21">
    <cfRule type="cellIs" dxfId="0" priority="1" operator="greaterThan">
      <formula>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B1:G15"/>
  <sheetViews>
    <sheetView showGridLines="0" workbookViewId="0">
      <selection activeCell="D57" sqref="D57"/>
    </sheetView>
  </sheetViews>
  <sheetFormatPr defaultColWidth="8.7265625" defaultRowHeight="14.5" x14ac:dyDescent="0.35"/>
  <cols>
    <col min="1" max="1" width="2.7265625" style="36" customWidth="1"/>
    <col min="2" max="2" width="13.453125" style="1" customWidth="1"/>
    <col min="3" max="3" width="15.1796875" style="35" customWidth="1"/>
    <col min="4" max="4" width="80.81640625" style="1" customWidth="1"/>
    <col min="5" max="16384" width="8.7265625" style="36"/>
  </cols>
  <sheetData>
    <row r="1" spans="2:7" ht="15" thickBot="1" x14ac:dyDescent="0.4"/>
    <row r="2" spans="2:7" ht="32.5" customHeight="1" x14ac:dyDescent="0.35">
      <c r="B2" s="365" t="s">
        <v>315</v>
      </c>
      <c r="C2" s="366"/>
      <c r="D2" s="367"/>
      <c r="E2" s="37"/>
      <c r="F2" s="37"/>
      <c r="G2" s="37"/>
    </row>
    <row r="3" spans="2:7" ht="21" customHeight="1" x14ac:dyDescent="0.35">
      <c r="B3" s="38" t="s">
        <v>316</v>
      </c>
      <c r="C3" s="39" t="s">
        <v>317</v>
      </c>
      <c r="D3" s="326" t="s">
        <v>318</v>
      </c>
    </row>
    <row r="4" spans="2:7" ht="21" customHeight="1" x14ac:dyDescent="0.35">
      <c r="B4" s="40" t="s">
        <v>164</v>
      </c>
      <c r="C4" s="41" t="s">
        <v>164</v>
      </c>
      <c r="D4" s="42" t="s">
        <v>83</v>
      </c>
    </row>
    <row r="5" spans="2:7" ht="21" customHeight="1" x14ac:dyDescent="0.35">
      <c r="B5" s="40" t="s">
        <v>160</v>
      </c>
      <c r="C5" s="41" t="s">
        <v>286</v>
      </c>
      <c r="D5" s="42" t="s">
        <v>80</v>
      </c>
    </row>
    <row r="6" spans="2:7" ht="21" customHeight="1" x14ac:dyDescent="0.35">
      <c r="B6" s="40" t="s">
        <v>81</v>
      </c>
      <c r="C6" s="41" t="s">
        <v>289</v>
      </c>
      <c r="D6" s="42" t="s">
        <v>82</v>
      </c>
    </row>
    <row r="7" spans="2:7" ht="21" customHeight="1" x14ac:dyDescent="0.35">
      <c r="B7" s="40" t="s">
        <v>163</v>
      </c>
      <c r="C7" s="41" t="s">
        <v>290</v>
      </c>
      <c r="D7" s="42" t="s">
        <v>265</v>
      </c>
    </row>
    <row r="8" spans="2:7" ht="21" customHeight="1" x14ac:dyDescent="0.35">
      <c r="B8" s="40" t="s">
        <v>84</v>
      </c>
      <c r="C8" s="41" t="s">
        <v>287</v>
      </c>
      <c r="D8" s="42" t="s">
        <v>85</v>
      </c>
    </row>
    <row r="9" spans="2:7" ht="21" customHeight="1" x14ac:dyDescent="0.35">
      <c r="B9" s="40" t="s">
        <v>86</v>
      </c>
      <c r="C9" s="41" t="s">
        <v>291</v>
      </c>
      <c r="D9" s="42" t="s">
        <v>87</v>
      </c>
    </row>
    <row r="10" spans="2:7" ht="21" customHeight="1" x14ac:dyDescent="0.35">
      <c r="B10" s="40" t="s">
        <v>158</v>
      </c>
      <c r="C10" s="41" t="s">
        <v>292</v>
      </c>
      <c r="D10" s="42" t="s">
        <v>79</v>
      </c>
    </row>
    <row r="11" spans="2:7" ht="21" customHeight="1" x14ac:dyDescent="0.35">
      <c r="B11" s="40" t="s">
        <v>159</v>
      </c>
      <c r="C11" s="41" t="s">
        <v>293</v>
      </c>
      <c r="D11" s="42" t="s">
        <v>78</v>
      </c>
    </row>
    <row r="12" spans="2:7" ht="21" customHeight="1" x14ac:dyDescent="0.35">
      <c r="B12" s="40" t="s">
        <v>266</v>
      </c>
      <c r="C12" s="41" t="s">
        <v>294</v>
      </c>
      <c r="D12" s="42" t="s">
        <v>267</v>
      </c>
    </row>
    <row r="13" spans="2:7" ht="21" customHeight="1" x14ac:dyDescent="0.35">
      <c r="B13" s="40" t="s">
        <v>161</v>
      </c>
      <c r="C13" s="41" t="s">
        <v>295</v>
      </c>
      <c r="D13" s="42" t="s">
        <v>88</v>
      </c>
    </row>
    <row r="14" spans="2:7" ht="21" customHeight="1" x14ac:dyDescent="0.35">
      <c r="B14" s="40" t="s">
        <v>162</v>
      </c>
      <c r="C14" s="41" t="s">
        <v>288</v>
      </c>
      <c r="D14" s="42" t="s">
        <v>89</v>
      </c>
    </row>
    <row r="15" spans="2:7" ht="15" thickBot="1" x14ac:dyDescent="0.4">
      <c r="B15" s="43"/>
      <c r="C15" s="44"/>
      <c r="D15" s="45"/>
    </row>
  </sheetData>
  <sheetProtection sheet="1" objects="1" scenarios="1" formatColumns="0" formatRows="0"/>
  <sortState ref="B3:D13">
    <sortCondition ref="B3"/>
  </sortState>
  <mergeCells count="1">
    <mergeCell ref="B2:D2"/>
  </mergeCells>
  <hyperlinks>
    <hyperlink ref="D4" r:id="rId1" xr:uid="{00000000-0004-0000-0C00-000000000000}"/>
    <hyperlink ref="D5" r:id="rId2" xr:uid="{00000000-0004-0000-0C00-000001000000}"/>
    <hyperlink ref="D6" r:id="rId3" xr:uid="{00000000-0004-0000-0C00-000002000000}"/>
    <hyperlink ref="D7" r:id="rId4" xr:uid="{00000000-0004-0000-0C00-000003000000}"/>
    <hyperlink ref="D8" r:id="rId5" xr:uid="{00000000-0004-0000-0C00-000004000000}"/>
    <hyperlink ref="D9" r:id="rId6" xr:uid="{00000000-0004-0000-0C00-000005000000}"/>
    <hyperlink ref="D10" r:id="rId7" xr:uid="{00000000-0004-0000-0C00-000006000000}"/>
    <hyperlink ref="D11" r:id="rId8" xr:uid="{00000000-0004-0000-0C00-000007000000}"/>
    <hyperlink ref="D12" r:id="rId9" xr:uid="{00000000-0004-0000-0C00-000008000000}"/>
    <hyperlink ref="D13" r:id="rId10" xr:uid="{00000000-0004-0000-0C00-000009000000}"/>
    <hyperlink ref="D14" r:id="rId11" xr:uid="{00000000-0004-0000-0C00-00000A000000}"/>
  </hyperlinks>
  <pageMargins left="0.7" right="0.7" top="0.75" bottom="0.75" header="0.3" footer="0.3"/>
  <pageSetup orientation="portrait" r:id="rId12"/>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sheetPr>
  <dimension ref="B1:E14"/>
  <sheetViews>
    <sheetView showGridLines="0" zoomScaleNormal="100" workbookViewId="0">
      <selection activeCell="D50" sqref="D50"/>
    </sheetView>
  </sheetViews>
  <sheetFormatPr defaultColWidth="9.1796875" defaultRowHeight="14.5" x14ac:dyDescent="0.35"/>
  <cols>
    <col min="1" max="1" width="1.54296875" style="1" customWidth="1"/>
    <col min="2" max="2" width="6.453125" style="1" bestFit="1" customWidth="1"/>
    <col min="3" max="3" width="25.453125" style="1" customWidth="1"/>
    <col min="4" max="4" width="46" style="1" customWidth="1"/>
    <col min="5" max="5" width="82.453125" style="1" customWidth="1"/>
    <col min="6" max="16384" width="9.1796875" style="1"/>
  </cols>
  <sheetData>
    <row r="1" spans="2:5" ht="3" customHeight="1" thickBot="1" x14ac:dyDescent="0.4"/>
    <row r="2" spans="2:5" s="2" customFormat="1" ht="28.5" customHeight="1" x14ac:dyDescent="0.35">
      <c r="B2" s="8" t="s">
        <v>184</v>
      </c>
      <c r="C2" s="9" t="s">
        <v>195</v>
      </c>
      <c r="D2" s="10" t="s">
        <v>76</v>
      </c>
      <c r="E2" s="11" t="s">
        <v>183</v>
      </c>
    </row>
    <row r="3" spans="2:5" ht="16" customHeight="1" x14ac:dyDescent="0.35">
      <c r="B3" s="12" t="s">
        <v>254</v>
      </c>
      <c r="C3" s="6" t="s">
        <v>114</v>
      </c>
      <c r="D3" s="16" t="s">
        <v>280</v>
      </c>
      <c r="E3" s="17" t="s">
        <v>279</v>
      </c>
    </row>
    <row r="4" spans="2:5" ht="16.5" customHeight="1" x14ac:dyDescent="0.35">
      <c r="B4" s="13" t="s">
        <v>255</v>
      </c>
      <c r="C4" s="7" t="s">
        <v>115</v>
      </c>
      <c r="D4" s="18" t="s">
        <v>33</v>
      </c>
      <c r="E4" s="19" t="s">
        <v>203</v>
      </c>
    </row>
    <row r="5" spans="2:5" ht="28" customHeight="1" x14ac:dyDescent="0.35">
      <c r="B5" s="13" t="s">
        <v>256</v>
      </c>
      <c r="C5" s="7" t="s">
        <v>116</v>
      </c>
      <c r="D5" s="18" t="s">
        <v>49</v>
      </c>
      <c r="E5" s="19" t="s">
        <v>322</v>
      </c>
    </row>
    <row r="6" spans="2:5" ht="26.5" customHeight="1" x14ac:dyDescent="0.35">
      <c r="B6" s="12" t="s">
        <v>257</v>
      </c>
      <c r="C6" s="6" t="s">
        <v>196</v>
      </c>
      <c r="D6" s="16" t="s">
        <v>199</v>
      </c>
      <c r="E6" s="17" t="s">
        <v>204</v>
      </c>
    </row>
    <row r="7" spans="2:5" ht="28.5" customHeight="1" x14ac:dyDescent="0.35">
      <c r="B7" s="13" t="s">
        <v>258</v>
      </c>
      <c r="C7" s="7" t="s">
        <v>122</v>
      </c>
      <c r="D7" s="18" t="s">
        <v>152</v>
      </c>
      <c r="E7" s="19" t="s">
        <v>205</v>
      </c>
    </row>
    <row r="8" spans="2:5" ht="27.5" customHeight="1" x14ac:dyDescent="0.35">
      <c r="B8" s="13" t="s">
        <v>259</v>
      </c>
      <c r="C8" s="7" t="s">
        <v>197</v>
      </c>
      <c r="D8" s="18" t="s">
        <v>200</v>
      </c>
      <c r="E8" s="19" t="s">
        <v>206</v>
      </c>
    </row>
    <row r="9" spans="2:5" ht="32.5" customHeight="1" x14ac:dyDescent="0.35">
      <c r="B9" s="13" t="s">
        <v>260</v>
      </c>
      <c r="C9" s="7" t="s">
        <v>117</v>
      </c>
      <c r="D9" s="18" t="s">
        <v>201</v>
      </c>
      <c r="E9" s="19" t="s">
        <v>207</v>
      </c>
    </row>
    <row r="10" spans="2:5" ht="20.5" customHeight="1" x14ac:dyDescent="0.35">
      <c r="B10" s="13" t="s">
        <v>261</v>
      </c>
      <c r="C10" s="7" t="s">
        <v>113</v>
      </c>
      <c r="D10" s="18" t="s">
        <v>0</v>
      </c>
      <c r="E10" s="19" t="s">
        <v>208</v>
      </c>
    </row>
    <row r="11" spans="2:5" ht="27" customHeight="1" x14ac:dyDescent="0.35">
      <c r="B11" s="13" t="s">
        <v>262</v>
      </c>
      <c r="C11" s="7" t="s">
        <v>182</v>
      </c>
      <c r="D11" s="18" t="s">
        <v>3</v>
      </c>
      <c r="E11" s="19" t="s">
        <v>209</v>
      </c>
    </row>
    <row r="12" spans="2:5" ht="27" customHeight="1" x14ac:dyDescent="0.35">
      <c r="B12" s="13" t="s">
        <v>263</v>
      </c>
      <c r="C12" s="7" t="s">
        <v>198</v>
      </c>
      <c r="D12" s="18" t="s">
        <v>202</v>
      </c>
      <c r="E12" s="19" t="s">
        <v>210</v>
      </c>
    </row>
    <row r="13" spans="2:5" ht="25.5" customHeight="1" thickBot="1" x14ac:dyDescent="0.4">
      <c r="B13" s="14"/>
      <c r="C13" s="15" t="s">
        <v>118</v>
      </c>
      <c r="D13" s="20" t="s">
        <v>315</v>
      </c>
      <c r="E13" s="21" t="s">
        <v>301</v>
      </c>
    </row>
    <row r="14" spans="2:5" x14ac:dyDescent="0.35">
      <c r="B14" s="3"/>
      <c r="C14" s="3"/>
      <c r="D14" s="4"/>
      <c r="E14" s="5"/>
    </row>
  </sheetData>
  <sheetProtection sheet="1" objects="1" scenarios="1" formatColumns="0" formatRows="0"/>
  <hyperlinks>
    <hyperlink ref="C10" location="'C8-Additional CAPEX'!A1" display="Additional CAPEX" xr:uid="{00000000-0004-0000-0100-000000000000}"/>
    <hyperlink ref="C3" location="'C1-Capacity-Net Generation'!A1" display="Capacity- Net Generation" xr:uid="{00000000-0004-0000-0100-000001000000}"/>
    <hyperlink ref="C4" location="'C2-Fixed Cost'!A1" display="Fixed Cost " xr:uid="{00000000-0004-0000-0100-000002000000}"/>
    <hyperlink ref="C5" location="'C3-Variable Cost'!A1" display="Variable Cost" xr:uid="{00000000-0004-0000-0100-000003000000}"/>
    <hyperlink ref="C8" location="'C6-T&amp;D and PP'!A1" display="T&amp;D and PP" xr:uid="{00000000-0004-0000-0100-000004000000}"/>
    <hyperlink ref="C9" location="'C7-Flat Rate Consumption'!A1" display="Flat Rate Consumption" xr:uid="{00000000-0004-0000-0100-000005000000}"/>
    <hyperlink ref="C13" location="'Consumption Calculator Links'!A1" display="Consumption Calculator Links" xr:uid="{00000000-0004-0000-0100-000006000000}"/>
    <hyperlink ref="C7" location="'C5-ARR change'!A1" display="ARR Change" xr:uid="{00000000-0004-0000-0100-000007000000}"/>
    <hyperlink ref="C12" location="'C10-Cross-Subsidy &amp; Revenue Gap'!A1" display="Cross-Subsidy &amp; Revenue Gap" xr:uid="{00000000-0004-0000-0100-000008000000}"/>
    <hyperlink ref="C11" location="'C9-Delay of payments to DISCOM'!A1" display="Delay in Payments" xr:uid="{00000000-0004-0000-0100-000009000000}"/>
    <hyperlink ref="C6" location="'C4-RPO'!A1" display="RPO" xr:uid="{00000000-0004-0000-0100-00000A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BEEF4"/>
  </sheetPr>
  <dimension ref="A1:H13"/>
  <sheetViews>
    <sheetView showGridLines="0" zoomScaleNormal="100" workbookViewId="0">
      <selection activeCell="D38" sqref="D38"/>
    </sheetView>
  </sheetViews>
  <sheetFormatPr defaultColWidth="9.1796875" defaultRowHeight="12" x14ac:dyDescent="0.35"/>
  <cols>
    <col min="1" max="1" width="1.453125" style="65" customWidth="1"/>
    <col min="2" max="2" width="27.1796875" style="65" customWidth="1"/>
    <col min="3" max="3" width="13.54296875" style="65" customWidth="1"/>
    <col min="4" max="4" width="9.1796875" style="65"/>
    <col min="5" max="5" width="9.54296875" style="65" customWidth="1"/>
    <col min="6" max="6" width="87.81640625" style="65" customWidth="1"/>
    <col min="7" max="7" width="14.81640625" style="65" customWidth="1"/>
    <col min="8" max="16384" width="9.1796875" style="65"/>
  </cols>
  <sheetData>
    <row r="1" spans="1:8" ht="7" customHeight="1" thickBot="1" x14ac:dyDescent="0.4">
      <c r="A1" s="63"/>
      <c r="B1" s="64"/>
      <c r="C1" s="64"/>
      <c r="D1" s="64"/>
      <c r="E1" s="64"/>
      <c r="F1" s="64"/>
    </row>
    <row r="2" spans="1:8" s="67" customFormat="1" ht="34.5" customHeight="1" thickBot="1" x14ac:dyDescent="0.4">
      <c r="A2" s="66"/>
      <c r="B2" s="341" t="s">
        <v>280</v>
      </c>
      <c r="C2" s="342"/>
      <c r="D2" s="342"/>
      <c r="E2" s="342"/>
      <c r="F2" s="343"/>
      <c r="G2" s="72"/>
    </row>
    <row r="3" spans="1:8" s="67" customFormat="1" ht="21.75" customHeight="1" thickBot="1" x14ac:dyDescent="0.4">
      <c r="A3" s="66"/>
      <c r="B3" s="73" t="s">
        <v>12</v>
      </c>
      <c r="C3" s="74"/>
      <c r="D3" s="74"/>
      <c r="E3" s="74"/>
      <c r="F3" s="75"/>
      <c r="G3" s="72"/>
    </row>
    <row r="4" spans="1:8" s="67" customFormat="1" ht="60" customHeight="1" x14ac:dyDescent="0.35">
      <c r="A4" s="66"/>
      <c r="B4" s="344" t="s">
        <v>123</v>
      </c>
      <c r="C4" s="345"/>
      <c r="D4" s="345"/>
      <c r="E4" s="345"/>
      <c r="F4" s="346"/>
      <c r="G4" s="72"/>
    </row>
    <row r="5" spans="1:8" s="67" customFormat="1" ht="15" customHeight="1" x14ac:dyDescent="0.35">
      <c r="A5" s="66"/>
      <c r="B5" s="76" t="s">
        <v>13</v>
      </c>
      <c r="C5" s="77" t="s">
        <v>17</v>
      </c>
      <c r="D5" s="77" t="s">
        <v>18</v>
      </c>
      <c r="E5" s="77" t="s">
        <v>19</v>
      </c>
      <c r="F5" s="78" t="s">
        <v>15</v>
      </c>
      <c r="G5" s="72"/>
    </row>
    <row r="6" spans="1:8" s="68" customFormat="1" ht="18.649999999999999" customHeight="1" x14ac:dyDescent="0.35">
      <c r="A6" s="66"/>
      <c r="B6" s="79" t="s">
        <v>20</v>
      </c>
      <c r="C6" s="41" t="s">
        <v>10</v>
      </c>
      <c r="D6" s="80" t="s">
        <v>21</v>
      </c>
      <c r="E6" s="22">
        <v>1320</v>
      </c>
      <c r="F6" s="81" t="s">
        <v>22</v>
      </c>
      <c r="G6" s="82"/>
    </row>
    <row r="7" spans="1:8" s="68" customFormat="1" ht="28.4" customHeight="1" x14ac:dyDescent="0.35">
      <c r="A7" s="66"/>
      <c r="B7" s="79" t="s">
        <v>25</v>
      </c>
      <c r="C7" s="41" t="s">
        <v>11</v>
      </c>
      <c r="D7" s="80" t="s">
        <v>24</v>
      </c>
      <c r="E7" s="23">
        <v>0.85</v>
      </c>
      <c r="F7" s="83" t="s">
        <v>27</v>
      </c>
      <c r="G7" s="82"/>
    </row>
    <row r="8" spans="1:8" s="68" customFormat="1" ht="34" customHeight="1" x14ac:dyDescent="0.35">
      <c r="A8" s="66"/>
      <c r="B8" s="79" t="s">
        <v>28</v>
      </c>
      <c r="C8" s="41" t="s">
        <v>36</v>
      </c>
      <c r="D8" s="80" t="s">
        <v>24</v>
      </c>
      <c r="E8" s="23">
        <v>0.74</v>
      </c>
      <c r="F8" s="83" t="s">
        <v>333</v>
      </c>
      <c r="G8" s="82"/>
    </row>
    <row r="9" spans="1:8" s="68" customFormat="1" ht="31" customHeight="1" x14ac:dyDescent="0.35">
      <c r="A9" s="66"/>
      <c r="B9" s="84" t="s">
        <v>211</v>
      </c>
      <c r="C9" s="41" t="s">
        <v>126</v>
      </c>
      <c r="D9" s="80" t="s">
        <v>30</v>
      </c>
      <c r="E9" s="85">
        <f>E6*E7*8.76</f>
        <v>9828.7199999999993</v>
      </c>
      <c r="F9" s="86" t="s">
        <v>296</v>
      </c>
      <c r="G9" s="82"/>
    </row>
    <row r="10" spans="1:8" s="68" customFormat="1" ht="21" customHeight="1" x14ac:dyDescent="0.35">
      <c r="A10" s="66"/>
      <c r="B10" s="79" t="s">
        <v>125</v>
      </c>
      <c r="C10" s="41" t="s">
        <v>127</v>
      </c>
      <c r="D10" s="80" t="s">
        <v>30</v>
      </c>
      <c r="E10" s="85">
        <f>E6*E8*8.76</f>
        <v>8556.768</v>
      </c>
      <c r="F10" s="86" t="s">
        <v>130</v>
      </c>
      <c r="G10" s="82"/>
    </row>
    <row r="11" spans="1:8" s="68" customFormat="1" ht="33" customHeight="1" x14ac:dyDescent="0.35">
      <c r="A11" s="66"/>
      <c r="B11" s="79" t="s">
        <v>23</v>
      </c>
      <c r="C11" s="41" t="s">
        <v>41</v>
      </c>
      <c r="D11" s="80" t="s">
        <v>24</v>
      </c>
      <c r="E11" s="24">
        <v>8.5000000000000006E-2</v>
      </c>
      <c r="F11" s="81" t="s">
        <v>124</v>
      </c>
      <c r="G11" s="82"/>
    </row>
    <row r="12" spans="1:8" s="68" customFormat="1" ht="29.5" customHeight="1" x14ac:dyDescent="0.35">
      <c r="A12" s="66"/>
      <c r="B12" s="87" t="s">
        <v>212</v>
      </c>
      <c r="C12" s="41" t="s">
        <v>128</v>
      </c>
      <c r="D12" s="80" t="s">
        <v>30</v>
      </c>
      <c r="E12" s="88">
        <f>E9-E9*$E$11</f>
        <v>8993.2788</v>
      </c>
      <c r="F12" s="86" t="s">
        <v>131</v>
      </c>
      <c r="G12" s="82"/>
    </row>
    <row r="13" spans="1:8" s="70" customFormat="1" ht="49" customHeight="1" thickBot="1" x14ac:dyDescent="0.4">
      <c r="A13" s="69"/>
      <c r="B13" s="89" t="s">
        <v>31</v>
      </c>
      <c r="C13" s="90" t="s">
        <v>129</v>
      </c>
      <c r="D13" s="91" t="s">
        <v>30</v>
      </c>
      <c r="E13" s="92">
        <f>E10-E10*$E$11</f>
        <v>7829.44272</v>
      </c>
      <c r="F13" s="93" t="s">
        <v>132</v>
      </c>
      <c r="G13" s="94"/>
      <c r="H13" s="71"/>
    </row>
  </sheetData>
  <sheetProtection sheet="1" objects="1" scenarios="1" formatColumns="0" formatRows="0"/>
  <mergeCells count="2">
    <mergeCell ref="B2:F2"/>
    <mergeCell ref="B4:F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BEEF4"/>
  </sheetPr>
  <dimension ref="A1:H28"/>
  <sheetViews>
    <sheetView showGridLines="0" workbookViewId="0">
      <selection activeCell="D34" sqref="D34"/>
    </sheetView>
  </sheetViews>
  <sheetFormatPr defaultColWidth="9.1796875" defaultRowHeight="14.5" x14ac:dyDescent="0.35"/>
  <cols>
    <col min="1" max="1" width="2" style="98" customWidth="1"/>
    <col min="2" max="2" width="21.81640625" style="98" customWidth="1"/>
    <col min="3" max="3" width="15.54296875" style="98" customWidth="1"/>
    <col min="4" max="4" width="10.54296875" style="98" customWidth="1"/>
    <col min="5" max="5" width="13.54296875" style="35" customWidth="1"/>
    <col min="6" max="6" width="90.453125" style="35" customWidth="1"/>
    <col min="7" max="7" width="11.54296875" style="98" bestFit="1" customWidth="1"/>
    <col min="8" max="16384" width="9.1796875" style="98"/>
  </cols>
  <sheetData>
    <row r="1" spans="1:8" ht="10.5" customHeight="1" thickBot="1" x14ac:dyDescent="0.4">
      <c r="A1" s="95"/>
      <c r="B1" s="96"/>
      <c r="C1" s="96"/>
      <c r="D1" s="96"/>
      <c r="E1" s="97"/>
      <c r="F1" s="97"/>
    </row>
    <row r="2" spans="1:8" ht="32.5" customHeight="1" thickBot="1" x14ac:dyDescent="0.4">
      <c r="A2" s="99"/>
      <c r="B2" s="347" t="s">
        <v>33</v>
      </c>
      <c r="C2" s="348"/>
      <c r="D2" s="348"/>
      <c r="E2" s="348"/>
      <c r="F2" s="349"/>
    </row>
    <row r="3" spans="1:8" s="58" customFormat="1" ht="21" customHeight="1" thickBot="1" x14ac:dyDescent="0.4">
      <c r="A3" s="100"/>
      <c r="B3" s="101" t="s">
        <v>12</v>
      </c>
      <c r="C3" s="101"/>
      <c r="D3" s="102"/>
      <c r="E3" s="102"/>
      <c r="F3" s="103"/>
      <c r="G3" s="104"/>
      <c r="H3" s="104"/>
    </row>
    <row r="4" spans="1:8" s="58" customFormat="1" ht="60" customHeight="1" x14ac:dyDescent="0.35">
      <c r="A4" s="100"/>
      <c r="B4" s="344" t="s">
        <v>133</v>
      </c>
      <c r="C4" s="345"/>
      <c r="D4" s="345"/>
      <c r="E4" s="345"/>
      <c r="F4" s="346"/>
      <c r="G4" s="104"/>
      <c r="H4" s="104"/>
    </row>
    <row r="5" spans="1:8" s="58" customFormat="1" ht="18" customHeight="1" x14ac:dyDescent="0.35">
      <c r="A5" s="100"/>
      <c r="B5" s="76" t="s">
        <v>13</v>
      </c>
      <c r="C5" s="77" t="s">
        <v>17</v>
      </c>
      <c r="D5" s="77" t="s">
        <v>18</v>
      </c>
      <c r="E5" s="77" t="s">
        <v>19</v>
      </c>
      <c r="F5" s="78" t="s">
        <v>15</v>
      </c>
      <c r="G5" s="104"/>
      <c r="H5" s="104"/>
    </row>
    <row r="6" spans="1:8" ht="25.4" customHeight="1" x14ac:dyDescent="0.35">
      <c r="A6" s="105"/>
      <c r="B6" s="79" t="s">
        <v>20</v>
      </c>
      <c r="C6" s="41" t="s">
        <v>10</v>
      </c>
      <c r="D6" s="41" t="s">
        <v>21</v>
      </c>
      <c r="E6" s="22">
        <v>1320</v>
      </c>
      <c r="F6" s="81" t="s">
        <v>22</v>
      </c>
      <c r="G6" s="106"/>
      <c r="H6" s="106"/>
    </row>
    <row r="7" spans="1:8" ht="35" customHeight="1" x14ac:dyDescent="0.35">
      <c r="A7" s="105"/>
      <c r="B7" s="79" t="s">
        <v>236</v>
      </c>
      <c r="C7" s="41" t="s">
        <v>11</v>
      </c>
      <c r="D7" s="41" t="s">
        <v>24</v>
      </c>
      <c r="E7" s="23">
        <v>0.85</v>
      </c>
      <c r="F7" s="81" t="s">
        <v>34</v>
      </c>
      <c r="G7" s="106"/>
      <c r="H7" s="106"/>
    </row>
    <row r="8" spans="1:8" ht="44.5" customHeight="1" x14ac:dyDescent="0.35">
      <c r="A8" s="105"/>
      <c r="B8" s="79" t="s">
        <v>35</v>
      </c>
      <c r="C8" s="41" t="s">
        <v>36</v>
      </c>
      <c r="D8" s="41" t="s">
        <v>24</v>
      </c>
      <c r="E8" s="23">
        <v>0.7</v>
      </c>
      <c r="F8" s="81" t="s">
        <v>323</v>
      </c>
      <c r="G8" s="106"/>
      <c r="H8" s="106"/>
    </row>
    <row r="9" spans="1:8" ht="34" customHeight="1" x14ac:dyDescent="0.35">
      <c r="A9" s="105"/>
      <c r="B9" s="79" t="s">
        <v>37</v>
      </c>
      <c r="C9" s="41" t="s">
        <v>26</v>
      </c>
      <c r="D9" s="41" t="s">
        <v>38</v>
      </c>
      <c r="E9" s="22">
        <v>1500</v>
      </c>
      <c r="F9" s="81" t="s">
        <v>213</v>
      </c>
      <c r="H9" s="106"/>
    </row>
    <row r="10" spans="1:8" ht="46" customHeight="1" x14ac:dyDescent="0.35">
      <c r="A10" s="105"/>
      <c r="B10" s="79" t="s">
        <v>39</v>
      </c>
      <c r="C10" s="41" t="s">
        <v>40</v>
      </c>
      <c r="D10" s="41" t="s">
        <v>38</v>
      </c>
      <c r="E10" s="85">
        <f>IF(E8&lt;=E7,(E9*E8/E7),E9)</f>
        <v>1235.2941176470588</v>
      </c>
      <c r="F10" s="81" t="s">
        <v>134</v>
      </c>
      <c r="G10" s="106"/>
      <c r="H10" s="106"/>
    </row>
    <row r="11" spans="1:8" ht="31" customHeight="1" x14ac:dyDescent="0.35">
      <c r="A11" s="105"/>
      <c r="B11" s="79" t="s">
        <v>23</v>
      </c>
      <c r="C11" s="41" t="s">
        <v>41</v>
      </c>
      <c r="D11" s="41" t="s">
        <v>24</v>
      </c>
      <c r="E11" s="24">
        <v>8.5000000000000006E-2</v>
      </c>
      <c r="F11" s="81" t="s">
        <v>324</v>
      </c>
      <c r="G11" s="106"/>
      <c r="H11" s="106"/>
    </row>
    <row r="12" spans="1:8" ht="33" customHeight="1" x14ac:dyDescent="0.35">
      <c r="A12" s="105"/>
      <c r="B12" s="79" t="s">
        <v>28</v>
      </c>
      <c r="C12" s="41" t="s">
        <v>42</v>
      </c>
      <c r="D12" s="41" t="s">
        <v>24</v>
      </c>
      <c r="E12" s="23">
        <v>0.74</v>
      </c>
      <c r="F12" s="81" t="s">
        <v>43</v>
      </c>
      <c r="G12" s="106"/>
      <c r="H12" s="106"/>
    </row>
    <row r="13" spans="1:8" ht="31" customHeight="1" x14ac:dyDescent="0.35">
      <c r="A13" s="105"/>
      <c r="B13" s="79" t="s">
        <v>237</v>
      </c>
      <c r="C13" s="41" t="s">
        <v>44</v>
      </c>
      <c r="D13" s="41" t="s">
        <v>30</v>
      </c>
      <c r="E13" s="85">
        <f>E6*E12*8.76*(1-E11)</f>
        <v>7829.44272</v>
      </c>
      <c r="F13" s="86" t="s">
        <v>32</v>
      </c>
      <c r="G13" s="106"/>
      <c r="H13" s="106"/>
    </row>
    <row r="14" spans="1:8" ht="25.4" customHeight="1" thickBot="1" x14ac:dyDescent="0.4">
      <c r="A14" s="105"/>
      <c r="B14" s="89" t="s">
        <v>45</v>
      </c>
      <c r="C14" s="90" t="s">
        <v>46</v>
      </c>
      <c r="D14" s="90" t="s">
        <v>47</v>
      </c>
      <c r="E14" s="107">
        <f>E10*10/E13</f>
        <v>1.5777548438939966</v>
      </c>
      <c r="F14" s="108" t="s">
        <v>48</v>
      </c>
      <c r="G14" s="106"/>
      <c r="H14" s="106"/>
    </row>
    <row r="15" spans="1:8" ht="24" customHeight="1" x14ac:dyDescent="0.35">
      <c r="A15" s="106"/>
      <c r="B15" s="106"/>
      <c r="C15" s="106"/>
      <c r="D15" s="106"/>
      <c r="E15" s="109"/>
      <c r="F15" s="109"/>
      <c r="G15" s="106"/>
      <c r="H15" s="106"/>
    </row>
    <row r="16" spans="1:8" ht="24" customHeight="1" x14ac:dyDescent="0.35">
      <c r="A16" s="106"/>
      <c r="B16" s="106"/>
      <c r="C16" s="106"/>
      <c r="D16" s="106"/>
      <c r="E16" s="109"/>
      <c r="F16" s="109"/>
      <c r="G16" s="106"/>
      <c r="H16" s="106"/>
    </row>
    <row r="17" spans="1:8" ht="24" customHeight="1" x14ac:dyDescent="0.35">
      <c r="A17" s="106"/>
      <c r="B17" s="106"/>
      <c r="C17" s="106"/>
      <c r="D17" s="106"/>
      <c r="E17" s="109"/>
      <c r="F17" s="109"/>
      <c r="G17" s="106"/>
      <c r="H17" s="106"/>
    </row>
    <row r="18" spans="1:8" s="112" customFormat="1" ht="24" customHeight="1" x14ac:dyDescent="0.35">
      <c r="A18" s="110"/>
      <c r="B18" s="110"/>
      <c r="C18" s="110"/>
      <c r="D18" s="110"/>
      <c r="E18" s="111"/>
      <c r="F18" s="111"/>
      <c r="G18" s="110"/>
      <c r="H18" s="110"/>
    </row>
    <row r="19" spans="1:8" ht="24" customHeight="1" x14ac:dyDescent="0.35">
      <c r="A19" s="106"/>
      <c r="B19" s="106"/>
      <c r="C19" s="106"/>
      <c r="D19" s="106"/>
      <c r="E19" s="109"/>
      <c r="F19" s="109"/>
      <c r="G19" s="106"/>
      <c r="H19" s="106"/>
    </row>
    <row r="20" spans="1:8" ht="24" customHeight="1" x14ac:dyDescent="0.35">
      <c r="A20" s="106"/>
      <c r="B20" s="106"/>
      <c r="C20" s="106"/>
      <c r="D20" s="106"/>
      <c r="E20" s="109"/>
      <c r="F20" s="109"/>
      <c r="G20" s="106"/>
      <c r="H20" s="106"/>
    </row>
    <row r="21" spans="1:8" ht="24" customHeight="1" x14ac:dyDescent="0.35">
      <c r="A21" s="106"/>
      <c r="B21" s="106"/>
      <c r="C21" s="106"/>
      <c r="D21" s="106"/>
      <c r="E21" s="109"/>
      <c r="F21" s="109"/>
      <c r="G21" s="106"/>
      <c r="H21" s="106"/>
    </row>
    <row r="22" spans="1:8" ht="24" customHeight="1" x14ac:dyDescent="0.35">
      <c r="A22" s="106"/>
      <c r="B22" s="106"/>
      <c r="C22" s="106"/>
      <c r="D22" s="106"/>
      <c r="E22" s="109"/>
      <c r="F22" s="109"/>
      <c r="G22" s="106"/>
      <c r="H22" s="106"/>
    </row>
    <row r="23" spans="1:8" ht="24" customHeight="1" x14ac:dyDescent="0.35">
      <c r="A23" s="106"/>
      <c r="B23" s="106"/>
      <c r="C23" s="106"/>
      <c r="D23" s="106"/>
      <c r="E23" s="109"/>
      <c r="F23" s="109"/>
      <c r="G23" s="106"/>
      <c r="H23" s="106"/>
    </row>
    <row r="24" spans="1:8" x14ac:dyDescent="0.35">
      <c r="A24" s="106"/>
      <c r="B24" s="106"/>
      <c r="C24" s="106"/>
      <c r="D24" s="106"/>
      <c r="E24" s="109"/>
      <c r="F24" s="109"/>
      <c r="G24" s="106"/>
      <c r="H24" s="106"/>
    </row>
    <row r="25" spans="1:8" x14ac:dyDescent="0.35">
      <c r="A25" s="106"/>
      <c r="B25" s="106"/>
      <c r="C25" s="106"/>
      <c r="D25" s="106"/>
      <c r="E25" s="109"/>
      <c r="F25" s="109"/>
      <c r="G25" s="106"/>
      <c r="H25" s="106"/>
    </row>
    <row r="26" spans="1:8" x14ac:dyDescent="0.35">
      <c r="A26" s="106"/>
      <c r="B26" s="106"/>
      <c r="C26" s="106"/>
      <c r="D26" s="106"/>
      <c r="E26" s="109"/>
      <c r="F26" s="109"/>
      <c r="G26" s="106"/>
      <c r="H26" s="106"/>
    </row>
    <row r="27" spans="1:8" x14ac:dyDescent="0.35">
      <c r="A27" s="106"/>
      <c r="B27" s="106"/>
      <c r="C27" s="106"/>
      <c r="D27" s="106"/>
      <c r="E27" s="109"/>
      <c r="F27" s="109"/>
      <c r="G27" s="106"/>
      <c r="H27" s="106"/>
    </row>
    <row r="28" spans="1:8" x14ac:dyDescent="0.35">
      <c r="A28" s="106"/>
      <c r="B28" s="106"/>
      <c r="C28" s="106"/>
      <c r="D28" s="106"/>
      <c r="E28" s="109"/>
      <c r="F28" s="109"/>
      <c r="G28" s="106"/>
      <c r="H28" s="106"/>
    </row>
  </sheetData>
  <sheetProtection sheet="1" objects="1" scenarios="1" formatColumns="0" formatRows="0"/>
  <mergeCells count="2">
    <mergeCell ref="B2:F2"/>
    <mergeCell ref="B4:F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BEEF4"/>
  </sheetPr>
  <dimension ref="A1:F28"/>
  <sheetViews>
    <sheetView showGridLines="0" zoomScaleNormal="100" workbookViewId="0">
      <selection activeCell="D30" sqref="D30"/>
    </sheetView>
  </sheetViews>
  <sheetFormatPr defaultColWidth="9.1796875" defaultRowHeight="14.5" x14ac:dyDescent="0.35"/>
  <cols>
    <col min="1" max="1" width="2" style="98" customWidth="1"/>
    <col min="2" max="2" width="25.08984375" style="98" customWidth="1"/>
    <col min="3" max="3" width="17.54296875" style="129" customWidth="1"/>
    <col min="4" max="4" width="14.453125" style="35" customWidth="1"/>
    <col min="5" max="5" width="11.453125" style="35" customWidth="1"/>
    <col min="6" max="6" width="81.1796875" style="35" customWidth="1"/>
    <col min="7" max="16384" width="9.1796875" style="98"/>
  </cols>
  <sheetData>
    <row r="1" spans="1:6" ht="10.5" customHeight="1" thickBot="1" x14ac:dyDescent="0.4">
      <c r="A1" s="95"/>
      <c r="B1" s="96"/>
      <c r="C1" s="113"/>
      <c r="D1" s="97"/>
      <c r="E1" s="97"/>
      <c r="F1" s="97"/>
    </row>
    <row r="2" spans="1:6" ht="31.5" customHeight="1" thickBot="1" x14ac:dyDescent="0.4">
      <c r="A2" s="99"/>
      <c r="B2" s="347" t="s">
        <v>49</v>
      </c>
      <c r="C2" s="348"/>
      <c r="D2" s="348"/>
      <c r="E2" s="348"/>
      <c r="F2" s="349"/>
    </row>
    <row r="3" spans="1:6" s="58" customFormat="1" ht="21" customHeight="1" thickBot="1" x14ac:dyDescent="0.4">
      <c r="A3" s="100"/>
      <c r="B3" s="101" t="s">
        <v>12</v>
      </c>
      <c r="C3" s="73"/>
      <c r="D3" s="102"/>
      <c r="E3" s="102"/>
      <c r="F3" s="103"/>
    </row>
    <row r="4" spans="1:6" s="58" customFormat="1" ht="34.5" customHeight="1" x14ac:dyDescent="0.35">
      <c r="A4" s="100"/>
      <c r="B4" s="350" t="s">
        <v>306</v>
      </c>
      <c r="C4" s="351"/>
      <c r="D4" s="351"/>
      <c r="E4" s="351"/>
      <c r="F4" s="352"/>
    </row>
    <row r="5" spans="1:6" s="58" customFormat="1" ht="19" customHeight="1" x14ac:dyDescent="0.35">
      <c r="A5" s="100"/>
      <c r="B5" s="114" t="s">
        <v>50</v>
      </c>
      <c r="C5" s="115"/>
      <c r="D5" s="115"/>
      <c r="E5" s="115"/>
      <c r="F5" s="116"/>
    </row>
    <row r="6" spans="1:6" s="58" customFormat="1" ht="19" customHeight="1" x14ac:dyDescent="0.35">
      <c r="A6" s="100"/>
      <c r="B6" s="76" t="s">
        <v>13</v>
      </c>
      <c r="C6" s="77" t="s">
        <v>17</v>
      </c>
      <c r="D6" s="77" t="s">
        <v>18</v>
      </c>
      <c r="E6" s="77" t="s">
        <v>19</v>
      </c>
      <c r="F6" s="78" t="s">
        <v>15</v>
      </c>
    </row>
    <row r="7" spans="1:6" ht="18.649999999999999" customHeight="1" x14ac:dyDescent="0.35">
      <c r="A7" s="105"/>
      <c r="B7" s="79" t="s">
        <v>51</v>
      </c>
      <c r="C7" s="41" t="s">
        <v>10</v>
      </c>
      <c r="D7" s="41" t="s">
        <v>303</v>
      </c>
      <c r="E7" s="22">
        <v>2100</v>
      </c>
      <c r="F7" s="81" t="s">
        <v>281</v>
      </c>
    </row>
    <row r="8" spans="1:6" ht="18.649999999999999" customHeight="1" x14ac:dyDescent="0.35">
      <c r="A8" s="105"/>
      <c r="B8" s="79" t="s">
        <v>135</v>
      </c>
      <c r="C8" s="41" t="s">
        <v>11</v>
      </c>
      <c r="D8" s="41" t="s">
        <v>303</v>
      </c>
      <c r="E8" s="22">
        <v>1500</v>
      </c>
      <c r="F8" s="81" t="s">
        <v>282</v>
      </c>
    </row>
    <row r="9" spans="1:6" ht="27.5" customHeight="1" x14ac:dyDescent="0.35">
      <c r="A9" s="105"/>
      <c r="B9" s="79" t="s">
        <v>52</v>
      </c>
      <c r="C9" s="41" t="s">
        <v>36</v>
      </c>
      <c r="D9" s="41" t="s">
        <v>303</v>
      </c>
      <c r="E9" s="22">
        <v>400</v>
      </c>
      <c r="F9" s="81" t="s">
        <v>283</v>
      </c>
    </row>
    <row r="10" spans="1:6" ht="30" customHeight="1" x14ac:dyDescent="0.35">
      <c r="A10" s="105"/>
      <c r="B10" s="79" t="s">
        <v>53</v>
      </c>
      <c r="C10" s="41" t="s">
        <v>26</v>
      </c>
      <c r="D10" s="41" t="s">
        <v>303</v>
      </c>
      <c r="E10" s="22">
        <v>500</v>
      </c>
      <c r="F10" s="81" t="s">
        <v>284</v>
      </c>
    </row>
    <row r="11" spans="1:6" s="112" customFormat="1" ht="18.649999999999999" customHeight="1" x14ac:dyDescent="0.35">
      <c r="A11" s="117"/>
      <c r="B11" s="118" t="s">
        <v>54</v>
      </c>
      <c r="C11" s="41" t="s">
        <v>227</v>
      </c>
      <c r="D11" s="41" t="s">
        <v>303</v>
      </c>
      <c r="E11" s="115">
        <f>SUM(E7:E10)</f>
        <v>4500</v>
      </c>
      <c r="F11" s="81" t="s">
        <v>55</v>
      </c>
    </row>
    <row r="12" spans="1:6" s="112" customFormat="1" ht="19" customHeight="1" x14ac:dyDescent="0.35">
      <c r="A12" s="117"/>
      <c r="B12" s="114" t="s">
        <v>56</v>
      </c>
      <c r="C12" s="41"/>
      <c r="D12" s="41"/>
      <c r="E12" s="115"/>
      <c r="F12" s="81"/>
    </row>
    <row r="13" spans="1:6" s="112" customFormat="1" ht="33.5" customHeight="1" x14ac:dyDescent="0.35">
      <c r="A13" s="117"/>
      <c r="B13" s="79" t="s">
        <v>238</v>
      </c>
      <c r="C13" s="119" t="s">
        <v>41</v>
      </c>
      <c r="D13" s="41" t="s">
        <v>303</v>
      </c>
      <c r="E13" s="120">
        <f>E11</f>
        <v>4500</v>
      </c>
      <c r="F13" s="81" t="s">
        <v>285</v>
      </c>
    </row>
    <row r="14" spans="1:6" ht="26" customHeight="1" x14ac:dyDescent="0.35">
      <c r="A14" s="105"/>
      <c r="B14" s="79" t="s">
        <v>57</v>
      </c>
      <c r="C14" s="119" t="s">
        <v>42</v>
      </c>
      <c r="D14" s="41" t="s">
        <v>58</v>
      </c>
      <c r="E14" s="25">
        <v>2222</v>
      </c>
      <c r="F14" s="81" t="s">
        <v>136</v>
      </c>
    </row>
    <row r="15" spans="1:6" ht="30.5" customHeight="1" x14ac:dyDescent="0.35">
      <c r="A15" s="105"/>
      <c r="B15" s="79" t="s">
        <v>23</v>
      </c>
      <c r="C15" s="119" t="s">
        <v>220</v>
      </c>
      <c r="D15" s="41" t="s">
        <v>24</v>
      </c>
      <c r="E15" s="24">
        <v>0.08</v>
      </c>
      <c r="F15" s="81" t="s">
        <v>324</v>
      </c>
    </row>
    <row r="16" spans="1:6" ht="33" customHeight="1" x14ac:dyDescent="0.35">
      <c r="A16" s="105"/>
      <c r="B16" s="79" t="s">
        <v>59</v>
      </c>
      <c r="C16" s="119" t="s">
        <v>221</v>
      </c>
      <c r="D16" s="41" t="s">
        <v>60</v>
      </c>
      <c r="E16" s="22">
        <v>4000</v>
      </c>
      <c r="F16" s="81" t="s">
        <v>61</v>
      </c>
    </row>
    <row r="17" spans="1:6" ht="34" customHeight="1" x14ac:dyDescent="0.35">
      <c r="A17" s="105"/>
      <c r="B17" s="79" t="s">
        <v>62</v>
      </c>
      <c r="C17" s="119" t="s">
        <v>225</v>
      </c>
      <c r="D17" s="41" t="s">
        <v>58</v>
      </c>
      <c r="E17" s="121">
        <f>E14*(1+E15)</f>
        <v>2399.7600000000002</v>
      </c>
      <c r="F17" s="81" t="s">
        <v>63</v>
      </c>
    </row>
    <row r="18" spans="1:6" ht="42.5" customHeight="1" x14ac:dyDescent="0.35">
      <c r="A18" s="105"/>
      <c r="B18" s="118" t="s">
        <v>214</v>
      </c>
      <c r="C18" s="119" t="s">
        <v>228</v>
      </c>
      <c r="D18" s="41" t="s">
        <v>64</v>
      </c>
      <c r="E18" s="122">
        <f>E17/E16</f>
        <v>0.59994000000000003</v>
      </c>
      <c r="F18" s="81" t="s">
        <v>325</v>
      </c>
    </row>
    <row r="19" spans="1:6" ht="25.4" customHeight="1" x14ac:dyDescent="0.35">
      <c r="A19" s="105"/>
      <c r="B19" s="118" t="s">
        <v>65</v>
      </c>
      <c r="C19" s="119" t="s">
        <v>229</v>
      </c>
      <c r="D19" s="41" t="s">
        <v>47</v>
      </c>
      <c r="E19" s="122">
        <f>E18*E13/1000</f>
        <v>2.6997300000000002</v>
      </c>
      <c r="F19" s="81" t="s">
        <v>137</v>
      </c>
    </row>
    <row r="20" spans="1:6" ht="19" customHeight="1" x14ac:dyDescent="0.35">
      <c r="A20" s="105"/>
      <c r="B20" s="114" t="s">
        <v>138</v>
      </c>
      <c r="C20" s="123"/>
      <c r="D20" s="119"/>
      <c r="E20" s="115"/>
      <c r="F20" s="81"/>
    </row>
    <row r="21" spans="1:6" ht="31.5" customHeight="1" x14ac:dyDescent="0.35">
      <c r="A21" s="105"/>
      <c r="B21" s="79" t="s">
        <v>214</v>
      </c>
      <c r="C21" s="119" t="s">
        <v>222</v>
      </c>
      <c r="D21" s="41" t="s">
        <v>64</v>
      </c>
      <c r="E21" s="124">
        <f>E18</f>
        <v>0.59994000000000003</v>
      </c>
      <c r="F21" s="81" t="s">
        <v>139</v>
      </c>
    </row>
    <row r="22" spans="1:6" ht="25.4" customHeight="1" x14ac:dyDescent="0.35">
      <c r="A22" s="105"/>
      <c r="B22" s="79" t="s">
        <v>20</v>
      </c>
      <c r="C22" s="119" t="s">
        <v>223</v>
      </c>
      <c r="D22" s="41" t="s">
        <v>21</v>
      </c>
      <c r="E22" s="61">
        <v>1320</v>
      </c>
      <c r="F22" s="81" t="s">
        <v>22</v>
      </c>
    </row>
    <row r="23" spans="1:6" ht="46.5" customHeight="1" x14ac:dyDescent="0.35">
      <c r="A23" s="105"/>
      <c r="B23" s="79" t="s">
        <v>28</v>
      </c>
      <c r="C23" s="119" t="s">
        <v>224</v>
      </c>
      <c r="D23" s="41" t="s">
        <v>24</v>
      </c>
      <c r="E23" s="62">
        <v>0.74</v>
      </c>
      <c r="F23" s="83" t="s">
        <v>29</v>
      </c>
    </row>
    <row r="24" spans="1:6" ht="29.5" customHeight="1" x14ac:dyDescent="0.35">
      <c r="A24" s="105"/>
      <c r="B24" s="79" t="s">
        <v>31</v>
      </c>
      <c r="C24" s="119" t="s">
        <v>226</v>
      </c>
      <c r="D24" s="41" t="s">
        <v>305</v>
      </c>
      <c r="E24" s="125">
        <f>E22*E23*8.76*(1-E15)</f>
        <v>7872.2265600000001</v>
      </c>
      <c r="F24" s="86" t="s">
        <v>140</v>
      </c>
    </row>
    <row r="25" spans="1:6" ht="33" customHeight="1" thickBot="1" x14ac:dyDescent="0.4">
      <c r="A25" s="105"/>
      <c r="B25" s="89" t="s">
        <v>66</v>
      </c>
      <c r="C25" s="126" t="s">
        <v>230</v>
      </c>
      <c r="D25" s="90" t="s">
        <v>304</v>
      </c>
      <c r="E25" s="127">
        <f>E18*E24/10^3</f>
        <v>4.7228636024063997</v>
      </c>
      <c r="F25" s="93" t="s">
        <v>302</v>
      </c>
    </row>
    <row r="26" spans="1:6" x14ac:dyDescent="0.35">
      <c r="A26" s="106"/>
      <c r="B26" s="106"/>
      <c r="C26" s="128"/>
      <c r="D26" s="109"/>
      <c r="E26" s="109"/>
      <c r="F26" s="109"/>
    </row>
    <row r="27" spans="1:6" ht="13.5" customHeight="1" x14ac:dyDescent="0.35">
      <c r="A27" s="106"/>
      <c r="B27" s="106"/>
      <c r="C27" s="128"/>
      <c r="D27" s="109"/>
      <c r="E27" s="109"/>
      <c r="F27" s="109"/>
    </row>
    <row r="28" spans="1:6" x14ac:dyDescent="0.35">
      <c r="A28" s="106"/>
      <c r="B28" s="106"/>
      <c r="C28" s="128"/>
      <c r="D28" s="109"/>
      <c r="E28" s="109"/>
      <c r="F28" s="109"/>
    </row>
  </sheetData>
  <sheetProtection sheet="1" objects="1" scenarios="1" formatColumns="0" formatRows="0"/>
  <mergeCells count="2">
    <mergeCell ref="B2:F2"/>
    <mergeCell ref="B4:F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BEEF4"/>
  </sheetPr>
  <dimension ref="B1:E22"/>
  <sheetViews>
    <sheetView showGridLines="0" zoomScaleNormal="100" zoomScalePageLayoutView="125" workbookViewId="0">
      <selection activeCell="D52" sqref="D52"/>
    </sheetView>
  </sheetViews>
  <sheetFormatPr defaultColWidth="8.81640625" defaultRowHeight="13" x14ac:dyDescent="0.35"/>
  <cols>
    <col min="1" max="1" width="2.453125" style="130" customWidth="1"/>
    <col min="2" max="2" width="45.453125" style="130" customWidth="1"/>
    <col min="3" max="3" width="9.54296875" style="131" customWidth="1"/>
    <col min="4" max="4" width="13.1796875" style="131" customWidth="1"/>
    <col min="5" max="5" width="65.453125" style="131" customWidth="1"/>
    <col min="6" max="6" width="20.54296875" style="130" customWidth="1"/>
    <col min="7" max="7" width="15.81640625" style="130" customWidth="1"/>
    <col min="8" max="16384" width="8.81640625" style="130"/>
  </cols>
  <sheetData>
    <row r="1" spans="2:5" ht="13.5" thickBot="1" x14ac:dyDescent="0.4"/>
    <row r="2" spans="2:5" ht="39" customHeight="1" x14ac:dyDescent="0.35">
      <c r="B2" s="347" t="s">
        <v>199</v>
      </c>
      <c r="C2" s="348"/>
      <c r="D2" s="348"/>
      <c r="E2" s="349"/>
    </row>
    <row r="3" spans="2:5" ht="17.149999999999999" customHeight="1" x14ac:dyDescent="0.35">
      <c r="B3" s="132" t="s">
        <v>12</v>
      </c>
      <c r="C3" s="133"/>
      <c r="D3" s="133"/>
      <c r="E3" s="134"/>
    </row>
    <row r="4" spans="2:5" ht="72" customHeight="1" x14ac:dyDescent="0.35">
      <c r="B4" s="353" t="s">
        <v>191</v>
      </c>
      <c r="C4" s="354"/>
      <c r="D4" s="354"/>
      <c r="E4" s="355"/>
    </row>
    <row r="5" spans="2:5" ht="18.5" customHeight="1" x14ac:dyDescent="0.35">
      <c r="B5" s="76" t="s">
        <v>68</v>
      </c>
      <c r="C5" s="77" t="s">
        <v>18</v>
      </c>
      <c r="D5" s="77" t="s">
        <v>19</v>
      </c>
      <c r="E5" s="78" t="s">
        <v>15</v>
      </c>
    </row>
    <row r="6" spans="2:5" ht="46.5" customHeight="1" x14ac:dyDescent="0.35">
      <c r="B6" s="135" t="s">
        <v>215</v>
      </c>
      <c r="C6" s="80" t="s">
        <v>30</v>
      </c>
      <c r="D6" s="26">
        <v>100000</v>
      </c>
      <c r="E6" s="136" t="s">
        <v>326</v>
      </c>
    </row>
    <row r="7" spans="2:5" ht="16.5" customHeight="1" x14ac:dyDescent="0.35">
      <c r="B7" s="137" t="s">
        <v>168</v>
      </c>
      <c r="C7" s="80" t="s">
        <v>24</v>
      </c>
      <c r="D7" s="27">
        <v>0.05</v>
      </c>
      <c r="E7" s="138" t="s">
        <v>192</v>
      </c>
    </row>
    <row r="8" spans="2:5" ht="16.5" customHeight="1" x14ac:dyDescent="0.35">
      <c r="B8" s="137" t="s">
        <v>169</v>
      </c>
      <c r="C8" s="80" t="s">
        <v>24</v>
      </c>
      <c r="D8" s="27">
        <v>0.1</v>
      </c>
      <c r="E8" s="138" t="s">
        <v>192</v>
      </c>
    </row>
    <row r="9" spans="2:5" ht="16.5" customHeight="1" x14ac:dyDescent="0.35">
      <c r="B9" s="137" t="s">
        <v>193</v>
      </c>
      <c r="C9" s="80" t="s">
        <v>170</v>
      </c>
      <c r="D9" s="139">
        <f>D7*D6</f>
        <v>5000</v>
      </c>
      <c r="E9" s="140"/>
    </row>
    <row r="10" spans="2:5" ht="16.5" customHeight="1" x14ac:dyDescent="0.35">
      <c r="B10" s="137" t="s">
        <v>194</v>
      </c>
      <c r="C10" s="80" t="s">
        <v>30</v>
      </c>
      <c r="D10" s="139">
        <f>D8*D6</f>
        <v>10000</v>
      </c>
      <c r="E10" s="140"/>
    </row>
    <row r="11" spans="2:5" ht="34.5" customHeight="1" x14ac:dyDescent="0.35">
      <c r="B11" s="137" t="s">
        <v>239</v>
      </c>
      <c r="C11" s="141"/>
      <c r="D11" s="139"/>
      <c r="E11" s="140" t="s">
        <v>189</v>
      </c>
    </row>
    <row r="12" spans="2:5" x14ac:dyDescent="0.35">
      <c r="B12" s="142" t="s">
        <v>171</v>
      </c>
      <c r="C12" s="141"/>
      <c r="D12" s="28">
        <v>0.3</v>
      </c>
      <c r="E12" s="143"/>
    </row>
    <row r="13" spans="2:5" x14ac:dyDescent="0.35">
      <c r="B13" s="142" t="s">
        <v>172</v>
      </c>
      <c r="C13" s="141"/>
      <c r="D13" s="28">
        <v>0.2</v>
      </c>
      <c r="E13" s="143"/>
    </row>
    <row r="14" spans="2:5" x14ac:dyDescent="0.35">
      <c r="B14" s="142" t="s">
        <v>173</v>
      </c>
      <c r="C14" s="141"/>
      <c r="D14" s="28">
        <v>0.7</v>
      </c>
      <c r="E14" s="143"/>
    </row>
    <row r="15" spans="2:5" x14ac:dyDescent="0.35">
      <c r="B15" s="142" t="s">
        <v>174</v>
      </c>
      <c r="C15" s="141"/>
      <c r="D15" s="28">
        <v>0.4</v>
      </c>
      <c r="E15" s="143"/>
    </row>
    <row r="16" spans="2:5" x14ac:dyDescent="0.35">
      <c r="B16" s="142" t="s">
        <v>176</v>
      </c>
      <c r="C16" s="141"/>
      <c r="D16" s="28">
        <v>0.5</v>
      </c>
      <c r="E16" s="143"/>
    </row>
    <row r="17" spans="2:5" ht="27" customHeight="1" x14ac:dyDescent="0.35">
      <c r="B17" s="144" t="s">
        <v>190</v>
      </c>
      <c r="C17" s="80" t="s">
        <v>21</v>
      </c>
      <c r="D17" s="145">
        <f>D9*1000/(8760*D13)</f>
        <v>2853.8812785388127</v>
      </c>
      <c r="E17" s="146"/>
    </row>
    <row r="18" spans="2:5" ht="23.5" customHeight="1" x14ac:dyDescent="0.35">
      <c r="B18" s="144" t="s">
        <v>188</v>
      </c>
      <c r="C18" s="80"/>
      <c r="D18" s="139"/>
      <c r="E18" s="147"/>
    </row>
    <row r="19" spans="2:5" x14ac:dyDescent="0.35">
      <c r="B19" s="142" t="s">
        <v>175</v>
      </c>
      <c r="C19" s="80" t="s">
        <v>21</v>
      </c>
      <c r="D19" s="145">
        <f>D10*1000/(8760*D12)</f>
        <v>3805.1750380517506</v>
      </c>
      <c r="E19" s="147"/>
    </row>
    <row r="20" spans="2:5" x14ac:dyDescent="0.35">
      <c r="B20" s="142" t="s">
        <v>177</v>
      </c>
      <c r="C20" s="80" t="s">
        <v>21</v>
      </c>
      <c r="D20" s="145">
        <f>D10*1000/(8760*D14)</f>
        <v>1630.7893020221788</v>
      </c>
      <c r="E20" s="147"/>
    </row>
    <row r="21" spans="2:5" x14ac:dyDescent="0.35">
      <c r="B21" s="142" t="s">
        <v>178</v>
      </c>
      <c r="C21" s="80" t="s">
        <v>21</v>
      </c>
      <c r="D21" s="145">
        <f>D10*1000/(8760*D15)</f>
        <v>2853.8812785388127</v>
      </c>
      <c r="E21" s="147"/>
    </row>
    <row r="22" spans="2:5" ht="13.5" thickBot="1" x14ac:dyDescent="0.4">
      <c r="B22" s="148" t="s">
        <v>179</v>
      </c>
      <c r="C22" s="91" t="s">
        <v>21</v>
      </c>
      <c r="D22" s="149">
        <f>D10*1000/(8760*D16)</f>
        <v>2283.1050228310501</v>
      </c>
      <c r="E22" s="150"/>
    </row>
  </sheetData>
  <sheetProtection sheet="1" objects="1" scenarios="1" formatColumns="0" formatRows="0"/>
  <mergeCells count="2">
    <mergeCell ref="B2:E2"/>
    <mergeCell ref="B4:E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BEEF4"/>
  </sheetPr>
  <dimension ref="A1:I30"/>
  <sheetViews>
    <sheetView showGridLines="0" zoomScaleNormal="100" workbookViewId="0">
      <selection activeCell="C53" sqref="C53"/>
    </sheetView>
  </sheetViews>
  <sheetFormatPr defaultColWidth="8.81640625" defaultRowHeight="14.5" x14ac:dyDescent="0.35"/>
  <cols>
    <col min="1" max="1" width="2.54296875" style="1" customWidth="1"/>
    <col min="2" max="2" width="33.1796875" style="1" customWidth="1"/>
    <col min="3" max="3" width="58.90625" style="1" customWidth="1"/>
    <col min="4" max="4" width="7.54296875" style="1" customWidth="1"/>
    <col min="5" max="5" width="16.81640625" style="1" customWidth="1"/>
    <col min="6" max="6" width="16.1796875" style="1" customWidth="1"/>
    <col min="7" max="7" width="11.81640625" style="1" customWidth="1"/>
    <col min="8" max="8" width="8.81640625" style="1"/>
    <col min="9" max="9" width="10.453125" style="1" bestFit="1" customWidth="1"/>
    <col min="10" max="16384" width="8.81640625" style="1"/>
  </cols>
  <sheetData>
    <row r="1" spans="1:7" ht="15" thickBot="1" x14ac:dyDescent="0.4"/>
    <row r="2" spans="1:7" ht="33" customHeight="1" thickBot="1" x14ac:dyDescent="0.4">
      <c r="A2" s="5"/>
      <c r="B2" s="347" t="s">
        <v>152</v>
      </c>
      <c r="C2" s="348"/>
      <c r="D2" s="348"/>
      <c r="E2" s="348"/>
      <c r="F2" s="348"/>
      <c r="G2" s="349"/>
    </row>
    <row r="3" spans="1:7" s="130" customFormat="1" ht="21.65" customHeight="1" thickBot="1" x14ac:dyDescent="0.4">
      <c r="A3" s="141"/>
      <c r="B3" s="73" t="s">
        <v>12</v>
      </c>
      <c r="C3" s="141"/>
      <c r="D3" s="141"/>
      <c r="E3" s="141"/>
      <c r="F3" s="141"/>
      <c r="G3" s="151"/>
    </row>
    <row r="4" spans="1:7" s="130" customFormat="1" ht="88.5" customHeight="1" x14ac:dyDescent="0.35">
      <c r="A4" s="141"/>
      <c r="B4" s="362" t="s">
        <v>327</v>
      </c>
      <c r="C4" s="363"/>
      <c r="D4" s="363"/>
      <c r="E4" s="363"/>
      <c r="F4" s="363"/>
      <c r="G4" s="364"/>
    </row>
    <row r="5" spans="1:7" s="130" customFormat="1" ht="21.65" customHeight="1" x14ac:dyDescent="0.35">
      <c r="A5" s="141"/>
      <c r="B5" s="360" t="s">
        <v>157</v>
      </c>
      <c r="C5" s="361"/>
      <c r="D5" s="361"/>
      <c r="E5" s="361"/>
      <c r="F5" s="361"/>
      <c r="G5" s="103"/>
    </row>
    <row r="6" spans="1:7" s="130" customFormat="1" ht="21" customHeight="1" x14ac:dyDescent="0.35">
      <c r="A6" s="141"/>
      <c r="B6" s="76" t="s">
        <v>111</v>
      </c>
      <c r="C6" s="152"/>
      <c r="D6" s="153" t="s">
        <v>18</v>
      </c>
      <c r="E6" s="153" t="s">
        <v>110</v>
      </c>
      <c r="F6" s="153" t="s">
        <v>119</v>
      </c>
      <c r="G6" s="154" t="s">
        <v>153</v>
      </c>
    </row>
    <row r="7" spans="1:7" s="130" customFormat="1" ht="20.149999999999999" customHeight="1" x14ac:dyDescent="0.35">
      <c r="A7" s="141"/>
      <c r="B7" s="356" t="s">
        <v>240</v>
      </c>
      <c r="C7" s="357"/>
      <c r="D7" s="155" t="s">
        <v>38</v>
      </c>
      <c r="E7" s="22">
        <v>7600</v>
      </c>
      <c r="F7" s="22">
        <v>8950</v>
      </c>
      <c r="G7" s="156">
        <f>(F7/E7)-1</f>
        <v>0.17763157894736836</v>
      </c>
    </row>
    <row r="8" spans="1:7" s="130" customFormat="1" ht="16" customHeight="1" x14ac:dyDescent="0.35">
      <c r="A8" s="141"/>
      <c r="B8" s="358" t="s">
        <v>297</v>
      </c>
      <c r="C8" s="359"/>
      <c r="D8" s="155" t="s">
        <v>154</v>
      </c>
      <c r="E8" s="157">
        <f>E7/$E$17</f>
        <v>0.75621890547263682</v>
      </c>
      <c r="F8" s="158">
        <f>F7/$F$17</f>
        <v>0.75400168491996633</v>
      </c>
      <c r="G8" s="156"/>
    </row>
    <row r="9" spans="1:7" s="130" customFormat="1" ht="20.149999999999999" customHeight="1" x14ac:dyDescent="0.35">
      <c r="A9" s="141"/>
      <c r="B9" s="356" t="s">
        <v>334</v>
      </c>
      <c r="C9" s="357"/>
      <c r="D9" s="155" t="s">
        <v>216</v>
      </c>
      <c r="E9" s="22">
        <v>1300</v>
      </c>
      <c r="F9" s="22">
        <v>1600</v>
      </c>
      <c r="G9" s="156">
        <f>(F9/E9)-1</f>
        <v>0.23076923076923084</v>
      </c>
    </row>
    <row r="10" spans="1:7" s="130" customFormat="1" ht="28" customHeight="1" x14ac:dyDescent="0.35">
      <c r="A10" s="141"/>
      <c r="B10" s="358" t="s">
        <v>232</v>
      </c>
      <c r="C10" s="359"/>
      <c r="D10" s="155" t="s">
        <v>154</v>
      </c>
      <c r="E10" s="157">
        <f>E9/$E$17</f>
        <v>0.12935323383084577</v>
      </c>
      <c r="F10" s="158">
        <f>F9/$F$17</f>
        <v>0.13479359730412804</v>
      </c>
      <c r="G10" s="159"/>
    </row>
    <row r="11" spans="1:7" s="130" customFormat="1" ht="20.149999999999999" customHeight="1" x14ac:dyDescent="0.35">
      <c r="A11" s="141"/>
      <c r="B11" s="356" t="s">
        <v>241</v>
      </c>
      <c r="C11" s="357"/>
      <c r="D11" s="155" t="s">
        <v>38</v>
      </c>
      <c r="E11" s="22">
        <v>580</v>
      </c>
      <c r="F11" s="22">
        <v>600</v>
      </c>
      <c r="G11" s="156">
        <f>(F11/E11)-1</f>
        <v>3.4482758620689724E-2</v>
      </c>
    </row>
    <row r="12" spans="1:7" s="130" customFormat="1" ht="16" customHeight="1" x14ac:dyDescent="0.35">
      <c r="A12" s="141"/>
      <c r="B12" s="160" t="s">
        <v>328</v>
      </c>
      <c r="C12" s="161"/>
      <c r="D12" s="155" t="s">
        <v>154</v>
      </c>
      <c r="E12" s="157">
        <f>E11/$E$17</f>
        <v>5.7711442786069649E-2</v>
      </c>
      <c r="F12" s="158">
        <f>F11/$F$17</f>
        <v>5.0547598989048023E-2</v>
      </c>
      <c r="G12" s="159"/>
    </row>
    <row r="13" spans="1:7" s="130" customFormat="1" ht="20.149999999999999" customHeight="1" x14ac:dyDescent="0.35">
      <c r="A13" s="141"/>
      <c r="B13" s="356" t="s">
        <v>242</v>
      </c>
      <c r="C13" s="357"/>
      <c r="D13" s="155" t="s">
        <v>38</v>
      </c>
      <c r="E13" s="22">
        <v>460</v>
      </c>
      <c r="F13" s="22">
        <v>490</v>
      </c>
      <c r="G13" s="156">
        <f>(F13/E13)-1</f>
        <v>6.5217391304347894E-2</v>
      </c>
    </row>
    <row r="14" spans="1:7" s="130" customFormat="1" ht="16" customHeight="1" x14ac:dyDescent="0.35">
      <c r="A14" s="141"/>
      <c r="B14" s="160" t="s">
        <v>109</v>
      </c>
      <c r="C14" s="161"/>
      <c r="D14" s="155" t="s">
        <v>154</v>
      </c>
      <c r="E14" s="157">
        <f>E13/$E$17</f>
        <v>4.5771144278606964E-2</v>
      </c>
      <c r="F14" s="158">
        <f>F13/$F$17</f>
        <v>4.1280539174389216E-2</v>
      </c>
      <c r="G14" s="159"/>
    </row>
    <row r="15" spans="1:7" s="163" customFormat="1" ht="20.149999999999999" customHeight="1" x14ac:dyDescent="0.35">
      <c r="A15" s="162"/>
      <c r="B15" s="356" t="s">
        <v>108</v>
      </c>
      <c r="C15" s="357"/>
      <c r="D15" s="155" t="s">
        <v>38</v>
      </c>
      <c r="E15" s="22">
        <v>110</v>
      </c>
      <c r="F15" s="22">
        <v>230</v>
      </c>
      <c r="G15" s="156">
        <f>(F15/E15)-1</f>
        <v>1.0909090909090908</v>
      </c>
    </row>
    <row r="16" spans="1:7" s="130" customFormat="1" ht="16" customHeight="1" x14ac:dyDescent="0.35">
      <c r="A16" s="141"/>
      <c r="B16" s="160" t="s">
        <v>107</v>
      </c>
      <c r="C16" s="161"/>
      <c r="D16" s="155" t="s">
        <v>154</v>
      </c>
      <c r="E16" s="157">
        <f>E15/$E$17</f>
        <v>1.0945273631840797E-2</v>
      </c>
      <c r="F16" s="158">
        <f>F15/$F$17</f>
        <v>1.9376579612468407E-2</v>
      </c>
      <c r="G16" s="159"/>
    </row>
    <row r="17" spans="1:9" s="130" customFormat="1" ht="27" customHeight="1" x14ac:dyDescent="0.35">
      <c r="A17" s="141"/>
      <c r="B17" s="164" t="s">
        <v>243</v>
      </c>
      <c r="C17" s="165"/>
      <c r="D17" s="166"/>
      <c r="E17" s="167">
        <f>E7+E9+E11+E13+E15</f>
        <v>10050</v>
      </c>
      <c r="F17" s="167">
        <f>F7+F9+F11+F13+F15</f>
        <v>11870</v>
      </c>
      <c r="G17" s="156">
        <f>(F17/E17)-1</f>
        <v>0.1810945273631841</v>
      </c>
    </row>
    <row r="18" spans="1:9" s="130" customFormat="1" ht="21.65" customHeight="1" x14ac:dyDescent="0.35">
      <c r="A18" s="141"/>
      <c r="B18" s="360" t="s">
        <v>156</v>
      </c>
      <c r="C18" s="361"/>
      <c r="D18" s="168"/>
      <c r="E18" s="77" t="s">
        <v>120</v>
      </c>
      <c r="F18" s="153" t="s">
        <v>121</v>
      </c>
      <c r="G18" s="154" t="s">
        <v>153</v>
      </c>
    </row>
    <row r="19" spans="1:9" s="130" customFormat="1" ht="16.5" customHeight="1" x14ac:dyDescent="0.35">
      <c r="A19" s="141"/>
      <c r="B19" s="169" t="s">
        <v>244</v>
      </c>
      <c r="C19" s="161"/>
      <c r="D19" s="155" t="s">
        <v>30</v>
      </c>
      <c r="E19" s="22">
        <v>15290</v>
      </c>
      <c r="F19" s="22">
        <v>17550</v>
      </c>
      <c r="G19" s="156">
        <f>(F19/E19)-1</f>
        <v>0.14780902550686714</v>
      </c>
    </row>
    <row r="20" spans="1:9" s="130" customFormat="1" ht="16.5" customHeight="1" x14ac:dyDescent="0.35">
      <c r="A20" s="141"/>
      <c r="B20" s="169" t="s">
        <v>245</v>
      </c>
      <c r="C20" s="161"/>
      <c r="D20" s="155" t="s">
        <v>30</v>
      </c>
      <c r="E20" s="22">
        <v>17580</v>
      </c>
      <c r="F20" s="22">
        <v>20250</v>
      </c>
      <c r="G20" s="156">
        <f t="shared" ref="G20:G27" si="0">(F20/E20)-1</f>
        <v>0.15187713310580198</v>
      </c>
      <c r="I20" s="170"/>
    </row>
    <row r="21" spans="1:9" s="130" customFormat="1" ht="16.5" customHeight="1" x14ac:dyDescent="0.35">
      <c r="A21" s="141"/>
      <c r="B21" s="169" t="s">
        <v>335</v>
      </c>
      <c r="C21" s="161"/>
      <c r="D21" s="155" t="s">
        <v>38</v>
      </c>
      <c r="E21" s="22">
        <v>9250</v>
      </c>
      <c r="F21" s="22">
        <v>11250</v>
      </c>
      <c r="G21" s="156">
        <f t="shared" si="0"/>
        <v>0.21621621621621623</v>
      </c>
    </row>
    <row r="22" spans="1:9" s="130" customFormat="1" ht="16.5" customHeight="1" x14ac:dyDescent="0.35">
      <c r="A22" s="141"/>
      <c r="B22" s="169" t="s">
        <v>231</v>
      </c>
      <c r="C22" s="161"/>
      <c r="D22" s="155" t="s">
        <v>216</v>
      </c>
      <c r="E22" s="22">
        <v>220</v>
      </c>
      <c r="F22" s="29">
        <v>265</v>
      </c>
      <c r="G22" s="156">
        <f t="shared" si="0"/>
        <v>0.20454545454545459</v>
      </c>
    </row>
    <row r="23" spans="1:9" s="130" customFormat="1" ht="16.5" customHeight="1" x14ac:dyDescent="0.35">
      <c r="A23" s="141"/>
      <c r="B23" s="160" t="s">
        <v>298</v>
      </c>
      <c r="C23" s="161"/>
      <c r="D23" s="155"/>
      <c r="E23" s="171"/>
      <c r="F23" s="171"/>
      <c r="G23" s="156"/>
    </row>
    <row r="24" spans="1:9" s="177" customFormat="1" ht="18" customHeight="1" x14ac:dyDescent="0.35">
      <c r="A24" s="172"/>
      <c r="B24" s="173" t="s">
        <v>336</v>
      </c>
      <c r="C24" s="174"/>
      <c r="D24" s="155" t="s">
        <v>155</v>
      </c>
      <c r="E24" s="175">
        <f>E7*10/E20</f>
        <v>4.3230944254835038</v>
      </c>
      <c r="F24" s="176">
        <f>F7*10/F20</f>
        <v>4.4197530864197532</v>
      </c>
      <c r="G24" s="156">
        <f t="shared" si="0"/>
        <v>2.2358674463937689E-2</v>
      </c>
    </row>
    <row r="25" spans="1:9" s="177" customFormat="1" ht="18" customHeight="1" x14ac:dyDescent="0.35">
      <c r="A25" s="172"/>
      <c r="B25" s="173" t="s">
        <v>337</v>
      </c>
      <c r="C25" s="174"/>
      <c r="D25" s="155" t="s">
        <v>155</v>
      </c>
      <c r="E25" s="175">
        <f>+(E7+E9)*10/E20</f>
        <v>5.0625711035267349</v>
      </c>
      <c r="F25" s="175">
        <f>+(F7+F9)*10/F20</f>
        <v>5.2098765432098766</v>
      </c>
      <c r="G25" s="156">
        <f t="shared" si="0"/>
        <v>2.9096962130670034E-2</v>
      </c>
    </row>
    <row r="26" spans="1:9" s="177" customFormat="1" ht="18" customHeight="1" x14ac:dyDescent="0.35">
      <c r="A26" s="172"/>
      <c r="B26" s="178" t="s">
        <v>338</v>
      </c>
      <c r="C26" s="174"/>
      <c r="D26" s="155" t="s">
        <v>155</v>
      </c>
      <c r="E26" s="175">
        <f>E17*10/E19</f>
        <v>6.5729234793982991</v>
      </c>
      <c r="F26" s="176">
        <f>F17*10/F19</f>
        <v>6.7635327635327638</v>
      </c>
      <c r="G26" s="156">
        <f t="shared" si="0"/>
        <v>2.8999163725532018E-2</v>
      </c>
    </row>
    <row r="27" spans="1:9" s="177" customFormat="1" ht="18" customHeight="1" x14ac:dyDescent="0.35">
      <c r="A27" s="172"/>
      <c r="B27" s="178" t="s">
        <v>339</v>
      </c>
      <c r="C27" s="174"/>
      <c r="D27" s="155" t="s">
        <v>155</v>
      </c>
      <c r="E27" s="175">
        <f>E21*10/E19</f>
        <v>6.04970568999346</v>
      </c>
      <c r="F27" s="175">
        <f>F21*10/F19</f>
        <v>6.4102564102564106</v>
      </c>
      <c r="G27" s="156">
        <f t="shared" si="0"/>
        <v>5.9598059598059638E-2</v>
      </c>
    </row>
    <row r="28" spans="1:9" s="177" customFormat="1" ht="18" customHeight="1" thickBot="1" x14ac:dyDescent="0.4">
      <c r="A28" s="172"/>
      <c r="B28" s="179" t="s">
        <v>332</v>
      </c>
      <c r="C28" s="180"/>
      <c r="D28" s="181" t="s">
        <v>38</v>
      </c>
      <c r="E28" s="182">
        <f>E17-E21-E22</f>
        <v>580</v>
      </c>
      <c r="F28" s="182">
        <f>F17-F21-F22</f>
        <v>355</v>
      </c>
      <c r="G28" s="183">
        <f t="shared" ref="G28" si="1">(F28/E28)-1</f>
        <v>-0.38793103448275867</v>
      </c>
    </row>
    <row r="29" spans="1:9" x14ac:dyDescent="0.35">
      <c r="A29" s="5"/>
      <c r="B29" s="5"/>
      <c r="C29" s="5"/>
      <c r="D29" s="5"/>
      <c r="E29" s="5"/>
      <c r="F29" s="5"/>
      <c r="G29" s="5"/>
    </row>
    <row r="30" spans="1:9" x14ac:dyDescent="0.35">
      <c r="C30" s="58"/>
    </row>
  </sheetData>
  <sheetProtection sheet="1" objects="1" scenarios="1" formatColumns="0" formatRows="0"/>
  <mergeCells count="11">
    <mergeCell ref="B15:C15"/>
    <mergeCell ref="B8:C8"/>
    <mergeCell ref="B18:C18"/>
    <mergeCell ref="B4:G4"/>
    <mergeCell ref="B2:G2"/>
    <mergeCell ref="B7:C7"/>
    <mergeCell ref="B11:C11"/>
    <mergeCell ref="B13:C13"/>
    <mergeCell ref="B5:F5"/>
    <mergeCell ref="B9:C9"/>
    <mergeCell ref="B10:C1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BEEF4"/>
  </sheetPr>
  <dimension ref="B1:J15"/>
  <sheetViews>
    <sheetView showGridLines="0" workbookViewId="0">
      <selection activeCell="C42" sqref="C42"/>
    </sheetView>
  </sheetViews>
  <sheetFormatPr defaultColWidth="9.1796875" defaultRowHeight="12" x14ac:dyDescent="0.3"/>
  <cols>
    <col min="1" max="1" width="2.1796875" style="184" customWidth="1"/>
    <col min="2" max="2" width="58.6328125" style="184" customWidth="1"/>
    <col min="3" max="3" width="15.1796875" style="184" customWidth="1"/>
    <col min="4" max="5" width="13.1796875" style="184" customWidth="1"/>
    <col min="6" max="16384" width="9.1796875" style="184"/>
  </cols>
  <sheetData>
    <row r="1" spans="2:10" ht="8.5" customHeight="1" thickBot="1" x14ac:dyDescent="0.35"/>
    <row r="2" spans="2:10" s="185" customFormat="1" ht="35.5" customHeight="1" thickBot="1" x14ac:dyDescent="0.4">
      <c r="B2" s="365" t="s">
        <v>200</v>
      </c>
      <c r="C2" s="366"/>
      <c r="D2" s="366"/>
      <c r="E2" s="367"/>
    </row>
    <row r="3" spans="2:10" s="185" customFormat="1" ht="15.65" customHeight="1" thickBot="1" x14ac:dyDescent="0.4">
      <c r="B3" s="186" t="s">
        <v>12</v>
      </c>
      <c r="C3" s="187"/>
      <c r="D3" s="187"/>
      <c r="E3" s="188"/>
    </row>
    <row r="4" spans="2:10" ht="59.5" customHeight="1" x14ac:dyDescent="0.3">
      <c r="B4" s="368" t="s">
        <v>186</v>
      </c>
      <c r="C4" s="369"/>
      <c r="D4" s="369"/>
      <c r="E4" s="370"/>
    </row>
    <row r="5" spans="2:10" ht="15.65" customHeight="1" x14ac:dyDescent="0.3">
      <c r="B5" s="189" t="s">
        <v>68</v>
      </c>
      <c r="C5" s="77" t="s">
        <v>18</v>
      </c>
      <c r="D5" s="77" t="s">
        <v>180</v>
      </c>
      <c r="E5" s="190" t="s">
        <v>181</v>
      </c>
    </row>
    <row r="6" spans="2:10" s="195" customFormat="1" ht="17.5" customHeight="1" x14ac:dyDescent="0.35">
      <c r="B6" s="191" t="s">
        <v>77</v>
      </c>
      <c r="C6" s="192" t="s">
        <v>30</v>
      </c>
      <c r="D6" s="26">
        <v>5000</v>
      </c>
      <c r="E6" s="193">
        <f>D6</f>
        <v>5000</v>
      </c>
      <c r="F6" s="194"/>
      <c r="J6" s="196"/>
    </row>
    <row r="7" spans="2:10" s="195" customFormat="1" ht="17.5" customHeight="1" x14ac:dyDescent="0.35">
      <c r="B7" s="191" t="s">
        <v>247</v>
      </c>
      <c r="C7" s="192" t="s">
        <v>24</v>
      </c>
      <c r="D7" s="27">
        <v>0.12</v>
      </c>
      <c r="E7" s="30">
        <v>0.08</v>
      </c>
    </row>
    <row r="8" spans="2:10" s="195" customFormat="1" ht="17.5" customHeight="1" x14ac:dyDescent="0.35">
      <c r="B8" s="191" t="s">
        <v>248</v>
      </c>
      <c r="C8" s="192" t="s">
        <v>24</v>
      </c>
      <c r="D8" s="27">
        <v>0.05</v>
      </c>
      <c r="E8" s="30">
        <v>0.04</v>
      </c>
      <c r="F8" s="194"/>
    </row>
    <row r="9" spans="2:10" s="200" customFormat="1" ht="17.5" customHeight="1" x14ac:dyDescent="0.35">
      <c r="B9" s="197" t="s">
        <v>249</v>
      </c>
      <c r="C9" s="192" t="s">
        <v>30</v>
      </c>
      <c r="D9" s="198">
        <f>(D6/(1-D7))/(1-D8)</f>
        <v>5980.8612440191391</v>
      </c>
      <c r="E9" s="199">
        <f>(E6/(1-E7))/(1-E8)</f>
        <v>5661.231884057971</v>
      </c>
    </row>
    <row r="10" spans="2:10" ht="33" customHeight="1" x14ac:dyDescent="0.3">
      <c r="B10" s="191" t="s">
        <v>217</v>
      </c>
      <c r="C10" s="192" t="s">
        <v>47</v>
      </c>
      <c r="D10" s="31">
        <v>4</v>
      </c>
      <c r="E10" s="201">
        <f>D10</f>
        <v>4</v>
      </c>
    </row>
    <row r="11" spans="2:10" ht="17.5" customHeight="1" x14ac:dyDescent="0.3">
      <c r="B11" s="197" t="s">
        <v>240</v>
      </c>
      <c r="C11" s="192" t="s">
        <v>144</v>
      </c>
      <c r="D11" s="198">
        <f>D10*D9/10</f>
        <v>2392.3444976076557</v>
      </c>
      <c r="E11" s="199">
        <f>E10*E9/10</f>
        <v>2264.4927536231885</v>
      </c>
    </row>
    <row r="12" spans="2:10" ht="17.5" customHeight="1" thickBot="1" x14ac:dyDescent="0.35">
      <c r="B12" s="202" t="s">
        <v>246</v>
      </c>
      <c r="C12" s="203" t="s">
        <v>144</v>
      </c>
      <c r="D12" s="371">
        <f>E11-D11</f>
        <v>-127.85174398446725</v>
      </c>
      <c r="E12" s="372"/>
    </row>
    <row r="15" spans="2:10" x14ac:dyDescent="0.3">
      <c r="C15" s="204"/>
      <c r="E15" s="205"/>
    </row>
  </sheetData>
  <sheetProtection sheet="1" objects="1" scenarios="1" formatColumns="0" formatRows="0"/>
  <mergeCells count="3">
    <mergeCell ref="B2:E2"/>
    <mergeCell ref="B4:E4"/>
    <mergeCell ref="D12:E12"/>
  </mergeCells>
  <conditionalFormatting sqref="D12:E12">
    <cfRule type="cellIs" dxfId="2" priority="1" operator="greaterThan">
      <formula>0</formula>
    </cfRule>
    <cfRule type="cellIs" dxfId="1" priority="2" operator="lessThan">
      <formula>0</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BEEF4"/>
  </sheetPr>
  <dimension ref="B1:E19"/>
  <sheetViews>
    <sheetView showGridLines="0" zoomScaleNormal="100" workbookViewId="0">
      <selection activeCell="D29" sqref="D29"/>
    </sheetView>
  </sheetViews>
  <sheetFormatPr defaultColWidth="9.1796875" defaultRowHeight="13" x14ac:dyDescent="0.3"/>
  <cols>
    <col min="1" max="1" width="1.54296875" style="208" customWidth="1"/>
    <col min="2" max="2" width="29.26953125" style="206" customWidth="1"/>
    <col min="3" max="3" width="15.54296875" style="207" customWidth="1"/>
    <col min="4" max="4" width="11.81640625" style="208" customWidth="1"/>
    <col min="5" max="5" width="77.26953125" style="208" customWidth="1"/>
    <col min="6" max="6" width="1.81640625" style="208" customWidth="1"/>
    <col min="7" max="8" width="15.54296875" style="208" customWidth="1"/>
    <col min="9" max="9" width="3.54296875" style="208" customWidth="1"/>
    <col min="10" max="16384" width="9.1796875" style="208"/>
  </cols>
  <sheetData>
    <row r="1" spans="2:5" ht="7.5" customHeight="1" thickBot="1" x14ac:dyDescent="0.35"/>
    <row r="2" spans="2:5" ht="33" customHeight="1" thickBot="1" x14ac:dyDescent="0.35">
      <c r="B2" s="347" t="s">
        <v>67</v>
      </c>
      <c r="C2" s="348"/>
      <c r="D2" s="348"/>
      <c r="E2" s="349"/>
    </row>
    <row r="3" spans="2:5" ht="17.149999999999999" customHeight="1" thickBot="1" x14ac:dyDescent="0.35">
      <c r="B3" s="73" t="s">
        <v>12</v>
      </c>
      <c r="C3" s="177"/>
      <c r="D3" s="177"/>
      <c r="E3" s="151"/>
    </row>
    <row r="4" spans="2:5" ht="31.5" customHeight="1" x14ac:dyDescent="0.3">
      <c r="B4" s="362" t="s">
        <v>187</v>
      </c>
      <c r="C4" s="373"/>
      <c r="D4" s="373"/>
      <c r="E4" s="364"/>
    </row>
    <row r="5" spans="2:5" ht="14.15" customHeight="1" x14ac:dyDescent="0.3">
      <c r="B5" s="76" t="s">
        <v>68</v>
      </c>
      <c r="C5" s="209" t="s">
        <v>18</v>
      </c>
      <c r="D5" s="209" t="s">
        <v>19</v>
      </c>
      <c r="E5" s="78" t="s">
        <v>15</v>
      </c>
    </row>
    <row r="6" spans="2:5" ht="46.5" customHeight="1" x14ac:dyDescent="0.3">
      <c r="B6" s="210" t="s">
        <v>145</v>
      </c>
      <c r="C6" s="211" t="s">
        <v>69</v>
      </c>
      <c r="D6" s="22">
        <v>70000</v>
      </c>
      <c r="E6" s="212" t="s">
        <v>150</v>
      </c>
    </row>
    <row r="7" spans="2:5" ht="47" customHeight="1" x14ac:dyDescent="0.3">
      <c r="B7" s="210" t="s">
        <v>146</v>
      </c>
      <c r="C7" s="211" t="s">
        <v>70</v>
      </c>
      <c r="D7" s="22">
        <v>350000</v>
      </c>
      <c r="E7" s="212" t="s">
        <v>151</v>
      </c>
    </row>
    <row r="8" spans="2:5" ht="14.5" x14ac:dyDescent="0.3">
      <c r="B8" s="210" t="s">
        <v>71</v>
      </c>
      <c r="C8" s="211" t="s">
        <v>70</v>
      </c>
      <c r="D8" s="211">
        <f>D7/D6</f>
        <v>5</v>
      </c>
      <c r="E8" s="213"/>
    </row>
    <row r="9" spans="2:5" ht="46" customHeight="1" x14ac:dyDescent="0.3">
      <c r="B9" s="210" t="s">
        <v>72</v>
      </c>
      <c r="C9" s="211" t="s">
        <v>141</v>
      </c>
      <c r="D9" s="22">
        <v>1380</v>
      </c>
      <c r="E9" s="212" t="s">
        <v>329</v>
      </c>
    </row>
    <row r="10" spans="2:5" ht="19" customHeight="1" thickBot="1" x14ac:dyDescent="0.35">
      <c r="B10" s="214" t="s">
        <v>73</v>
      </c>
      <c r="C10" s="215" t="s">
        <v>142</v>
      </c>
      <c r="D10" s="216">
        <f>D9*D7/10^6</f>
        <v>483</v>
      </c>
      <c r="E10" s="217"/>
    </row>
    <row r="11" spans="2:5" ht="9.65" customHeight="1" thickBot="1" x14ac:dyDescent="0.35"/>
    <row r="12" spans="2:5" ht="35.5" customHeight="1" thickBot="1" x14ac:dyDescent="0.35">
      <c r="B12" s="347" t="s">
        <v>74</v>
      </c>
      <c r="C12" s="348"/>
      <c r="D12" s="348"/>
      <c r="E12" s="349"/>
    </row>
    <row r="13" spans="2:5" ht="17.5" customHeight="1" thickBot="1" x14ac:dyDescent="0.35">
      <c r="B13" s="73" t="s">
        <v>12</v>
      </c>
      <c r="C13" s="177"/>
      <c r="D13" s="177"/>
      <c r="E13" s="151"/>
    </row>
    <row r="14" spans="2:5" ht="48" customHeight="1" x14ac:dyDescent="0.3">
      <c r="B14" s="362" t="s">
        <v>330</v>
      </c>
      <c r="C14" s="373"/>
      <c r="D14" s="373"/>
      <c r="E14" s="364"/>
    </row>
    <row r="15" spans="2:5" ht="14.15" customHeight="1" x14ac:dyDescent="0.3">
      <c r="B15" s="76" t="s">
        <v>68</v>
      </c>
      <c r="C15" s="209" t="s">
        <v>18</v>
      </c>
      <c r="D15" s="209" t="s">
        <v>19</v>
      </c>
      <c r="E15" s="78" t="s">
        <v>15</v>
      </c>
    </row>
    <row r="16" spans="2:5" ht="44.5" customHeight="1" x14ac:dyDescent="0.3">
      <c r="B16" s="210" t="s">
        <v>145</v>
      </c>
      <c r="C16" s="211" t="s">
        <v>69</v>
      </c>
      <c r="D16" s="22">
        <v>70000</v>
      </c>
      <c r="E16" s="212" t="s">
        <v>147</v>
      </c>
    </row>
    <row r="17" spans="2:5" ht="45" customHeight="1" x14ac:dyDescent="0.3">
      <c r="B17" s="210" t="s">
        <v>146</v>
      </c>
      <c r="C17" s="211" t="s">
        <v>70</v>
      </c>
      <c r="D17" s="22">
        <v>350000</v>
      </c>
      <c r="E17" s="212" t="s">
        <v>148</v>
      </c>
    </row>
    <row r="18" spans="2:5" ht="44" customHeight="1" x14ac:dyDescent="0.3">
      <c r="B18" s="210" t="s">
        <v>143</v>
      </c>
      <c r="C18" s="211" t="s">
        <v>142</v>
      </c>
      <c r="D18" s="22">
        <v>483</v>
      </c>
      <c r="E18" s="212" t="s">
        <v>149</v>
      </c>
    </row>
    <row r="19" spans="2:5" ht="28.5" customHeight="1" thickBot="1" x14ac:dyDescent="0.35">
      <c r="B19" s="214" t="s">
        <v>75</v>
      </c>
      <c r="C19" s="215" t="s">
        <v>141</v>
      </c>
      <c r="D19" s="216">
        <f>D18*10^6/D17</f>
        <v>1380</v>
      </c>
      <c r="E19" s="217"/>
    </row>
  </sheetData>
  <sheetProtection sheet="1" objects="1" scenarios="1" formatColumns="0" formatRows="0"/>
  <mergeCells count="4">
    <mergeCell ref="B14:E14"/>
    <mergeCell ref="B2:E2"/>
    <mergeCell ref="B4:E4"/>
    <mergeCell ref="B12:E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About Calculators</vt:lpstr>
      <vt:lpstr>Index</vt:lpstr>
      <vt:lpstr>C1-Capacity-Net Generation</vt:lpstr>
      <vt:lpstr>C2-Fixed Cost</vt:lpstr>
      <vt:lpstr>C3-Variable Cost</vt:lpstr>
      <vt:lpstr>C4-RPO</vt:lpstr>
      <vt:lpstr>C5-ARR change</vt:lpstr>
      <vt:lpstr>C6-T&amp;D and PP</vt:lpstr>
      <vt:lpstr>C7-Flat Rate Consumption</vt:lpstr>
      <vt:lpstr>C8-Additional CAPEX</vt:lpstr>
      <vt:lpstr>C9-Delay of payments to DISCOM</vt:lpstr>
      <vt:lpstr>C10-Cross-Subsidy &amp; Revenue Gap</vt:lpstr>
      <vt:lpstr>Consumption Calculator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Prayas (Energy Group)</dc:creator>
  <cp:lastModifiedBy>Manabika</cp:lastModifiedBy>
  <dcterms:created xsi:type="dcterms:W3CDTF">2018-03-29T09:57:29Z</dcterms:created>
  <dcterms:modified xsi:type="dcterms:W3CDTF">2019-02-28T06:03:38Z</dcterms:modified>
  <cp:version>1.0</cp:version>
</cp:coreProperties>
</file>